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G:\.shortcut-targets-by-id\1WMoak8a4vR4gKv790o8LiYVPJIwE0flx\Farm Team\2021 Farms and Research\!Sponsor - 21 CA _ Chaney Family Pistachio &amp; Almond Farm\Financial Modeling\"/>
    </mc:Choice>
  </mc:AlternateContent>
  <xr:revisionPtr revIDLastSave="0" documentId="8_{20F93008-D5EC-44E5-B097-4C44D307F952}" xr6:coauthVersionLast="47" xr6:coauthVersionMax="47" xr10:uidLastSave="{00000000-0000-0000-0000-000000000000}"/>
  <bookViews>
    <workbookView xWindow="-110" yWindow="-110" windowWidth="19420" windowHeight="10420" tabRatio="496" xr2:uid="{311EE22E-5EFF-464D-BBCF-87784A5BA7B5}"/>
  </bookViews>
  <sheets>
    <sheet name="Assumptions" sheetId="14" r:id="rId1"/>
    <sheet name="Proforma" sheetId="2" r:id="rId2"/>
    <sheet name="Management Struture" sheetId="20" r:id="rId3"/>
    <sheet name="Depreciation Deduction" sheetId="21" r:id="rId4"/>
    <sheet name="Loan Ammortization" sheetId="15" r:id="rId5"/>
    <sheet name="Line of Credit" sheetId="19" r:id="rId6"/>
    <sheet name="Sale" sheetId="18" r:id="rId7"/>
    <sheet name="Exit" sheetId="16" r:id="rId8"/>
    <sheet name="Investor Cash Flow (2yr hold)" sheetId="9" state="hidden" r:id="rId9"/>
    <sheet name="Sponsor Cash Flow (2yr hold)" sheetId="10" state="hidden" r:id="rId10"/>
    <sheet name="LTV Calc" sheetId="4" state="hidden" r:id="rId11"/>
  </sheets>
  <definedNames>
    <definedName name="_xlnm.Print_Area" localSheetId="0">Assumptions!$A$1:$C$97</definedName>
    <definedName name="_xlnm.Print_Area" localSheetId="1">Proforma!$A$1:$AG$105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0" i="14" l="1"/>
  <c r="C27" i="14"/>
  <c r="C29" i="14"/>
  <c r="C7" i="15"/>
  <c r="E86" i="2"/>
  <c r="H86" i="2" s="1"/>
  <c r="K86" i="2" s="1"/>
  <c r="N86" i="2" s="1"/>
  <c r="Q86" i="2" s="1"/>
  <c r="T86" i="2" s="1"/>
  <c r="W86" i="2" s="1"/>
  <c r="Z86" i="2" s="1"/>
  <c r="AC86" i="2" s="1"/>
  <c r="AF86" i="2" s="1"/>
  <c r="AF83" i="2" s="1"/>
  <c r="C8" i="20"/>
  <c r="C22" i="20"/>
  <c r="C52" i="14"/>
  <c r="Z83" i="2" l="1"/>
  <c r="AC83" i="2"/>
  <c r="H83" i="2"/>
  <c r="K83" i="2"/>
  <c r="N83" i="2"/>
  <c r="Q83" i="2"/>
  <c r="T83" i="2"/>
  <c r="W83" i="2"/>
  <c r="E131" i="2"/>
  <c r="B12" i="21"/>
  <c r="B14" i="21"/>
  <c r="A3" i="21"/>
  <c r="A1" i="21"/>
  <c r="C13" i="18"/>
  <c r="C9" i="18"/>
  <c r="AG29" i="2"/>
  <c r="AG24" i="2"/>
  <c r="AG21" i="2"/>
  <c r="AG20" i="2"/>
  <c r="AG15" i="2"/>
  <c r="AG14" i="2"/>
  <c r="AG13" i="2"/>
  <c r="AG12" i="2"/>
  <c r="AG11" i="2"/>
  <c r="AG10" i="2"/>
  <c r="B8" i="18"/>
  <c r="C9" i="14"/>
  <c r="B13" i="21" s="1"/>
  <c r="B11" i="21" l="1"/>
  <c r="B8" i="21"/>
  <c r="B10" i="21"/>
  <c r="B17" i="21"/>
  <c r="B9" i="21"/>
  <c r="B16" i="21"/>
  <c r="B15" i="21"/>
  <c r="AG22" i="2"/>
  <c r="AG16" i="2"/>
  <c r="B13" i="18"/>
  <c r="F72" i="2"/>
  <c r="C31" i="20"/>
  <c r="B31" i="20"/>
  <c r="C30" i="20"/>
  <c r="B30" i="20"/>
  <c r="C29" i="20"/>
  <c r="B29" i="20"/>
  <c r="C28" i="20"/>
  <c r="B28" i="20"/>
  <c r="C27" i="20"/>
  <c r="B27" i="20"/>
  <c r="C26" i="20"/>
  <c r="B26" i="20"/>
  <c r="C25" i="20"/>
  <c r="B25" i="20"/>
  <c r="C24" i="20"/>
  <c r="B24" i="20"/>
  <c r="C23" i="20"/>
  <c r="B23" i="20"/>
  <c r="D22" i="20"/>
  <c r="D23" i="20" s="1"/>
  <c r="B22" i="20"/>
  <c r="D8" i="20"/>
  <c r="D9" i="20" s="1"/>
  <c r="D10" i="20" s="1"/>
  <c r="D11" i="20" s="1"/>
  <c r="D12" i="20" s="1"/>
  <c r="D13" i="20" s="1"/>
  <c r="D14" i="20" s="1"/>
  <c r="D15" i="20" s="1"/>
  <c r="D16" i="20" s="1"/>
  <c r="D17" i="20" s="1"/>
  <c r="C9" i="20"/>
  <c r="C10" i="20"/>
  <c r="C11" i="20"/>
  <c r="C12" i="20"/>
  <c r="C13" i="20"/>
  <c r="C14" i="20"/>
  <c r="C15" i="20"/>
  <c r="C16" i="20"/>
  <c r="C17" i="20"/>
  <c r="B9" i="20"/>
  <c r="B10" i="20"/>
  <c r="B11" i="20"/>
  <c r="B12" i="20"/>
  <c r="B13" i="20"/>
  <c r="B14" i="20"/>
  <c r="B15" i="20"/>
  <c r="B16" i="20"/>
  <c r="B17" i="20"/>
  <c r="B8" i="20"/>
  <c r="A3" i="20"/>
  <c r="A1" i="20"/>
  <c r="C92" i="14"/>
  <c r="C89" i="14"/>
  <c r="C84" i="14"/>
  <c r="AF22" i="2"/>
  <c r="AF26" i="2" s="1"/>
  <c r="AG26" i="2" s="1"/>
  <c r="B21" i="2"/>
  <c r="C21" i="2" s="1"/>
  <c r="B9" i="19"/>
  <c r="B10" i="19"/>
  <c r="B11" i="19"/>
  <c r="B12" i="19"/>
  <c r="B13" i="19"/>
  <c r="B14" i="19"/>
  <c r="B15" i="19"/>
  <c r="B16" i="19"/>
  <c r="B17" i="19"/>
  <c r="B8" i="19"/>
  <c r="A3" i="19"/>
  <c r="A1" i="19"/>
  <c r="C10" i="14"/>
  <c r="E9" i="20"/>
  <c r="B121" i="2"/>
  <c r="E114" i="2"/>
  <c r="F114" i="2" s="1"/>
  <c r="E101" i="2" l="1"/>
  <c r="F101" i="2" s="1"/>
  <c r="B29" i="21"/>
  <c r="B23" i="21"/>
  <c r="B31" i="21"/>
  <c r="B24" i="21"/>
  <c r="B22" i="21"/>
  <c r="B25" i="21"/>
  <c r="B26" i="21"/>
  <c r="B27" i="21"/>
  <c r="B28" i="21"/>
  <c r="B30" i="21"/>
  <c r="E22" i="20"/>
  <c r="E8" i="20"/>
  <c r="F8" i="20" s="1"/>
  <c r="E66" i="2" s="1"/>
  <c r="E31" i="20"/>
  <c r="E17" i="20"/>
  <c r="E30" i="20"/>
  <c r="E16" i="20"/>
  <c r="F16" i="20" s="1"/>
  <c r="AC66" i="2" s="1"/>
  <c r="E29" i="20"/>
  <c r="E15" i="20"/>
  <c r="F15" i="20" s="1"/>
  <c r="Z66" i="2" s="1"/>
  <c r="E28" i="20"/>
  <c r="E14" i="20"/>
  <c r="F14" i="20" s="1"/>
  <c r="W66" i="2" s="1"/>
  <c r="E27" i="20"/>
  <c r="E13" i="20"/>
  <c r="F13" i="20" s="1"/>
  <c r="T66" i="2" s="1"/>
  <c r="E26" i="20"/>
  <c r="E12" i="20"/>
  <c r="F12" i="20" s="1"/>
  <c r="Q66" i="2" s="1"/>
  <c r="E25" i="20"/>
  <c r="E11" i="20"/>
  <c r="F11" i="20" s="1"/>
  <c r="N66" i="2" s="1"/>
  <c r="E24" i="20"/>
  <c r="E10" i="20"/>
  <c r="F10" i="20" s="1"/>
  <c r="K66" i="2" s="1"/>
  <c r="E23" i="20"/>
  <c r="F9" i="20"/>
  <c r="H66" i="2" s="1"/>
  <c r="F17" i="20"/>
  <c r="AF66" i="2" s="1"/>
  <c r="F23" i="20"/>
  <c r="H99" i="2" s="1"/>
  <c r="I99" i="2" s="1"/>
  <c r="D24" i="20"/>
  <c r="F22" i="20"/>
  <c r="E99" i="2" s="1"/>
  <c r="F99" i="2" s="1"/>
  <c r="B22" i="2"/>
  <c r="E89" i="2"/>
  <c r="E97" i="2"/>
  <c r="E98" i="2"/>
  <c r="E90" i="2"/>
  <c r="E91" i="2"/>
  <c r="H101" i="2" l="1"/>
  <c r="K101" i="2" s="1"/>
  <c r="L101" i="2" s="1"/>
  <c r="F24" i="20"/>
  <c r="K99" i="2" s="1"/>
  <c r="L99" i="2" s="1"/>
  <c r="D25" i="20"/>
  <c r="F90" i="2"/>
  <c r="H90" i="2"/>
  <c r="I90" i="2" s="1"/>
  <c r="F98" i="2"/>
  <c r="H98" i="2"/>
  <c r="I98" i="2" s="1"/>
  <c r="F97" i="2"/>
  <c r="H97" i="2"/>
  <c r="I97" i="2" s="1"/>
  <c r="I101" i="2"/>
  <c r="H91" i="2"/>
  <c r="I91" i="2" s="1"/>
  <c r="F91" i="2"/>
  <c r="H89" i="2"/>
  <c r="F89" i="2"/>
  <c r="B31" i="2"/>
  <c r="D26" i="20" l="1"/>
  <c r="F25" i="20"/>
  <c r="N99" i="2" s="1"/>
  <c r="I89" i="2"/>
  <c r="K89" i="2"/>
  <c r="L89" i="2" s="1"/>
  <c r="O99" i="2" l="1"/>
  <c r="F26" i="20"/>
  <c r="Q99" i="2" s="1"/>
  <c r="D27" i="20"/>
  <c r="B7" i="2"/>
  <c r="C13" i="16"/>
  <c r="C31" i="2"/>
  <c r="C8" i="16"/>
  <c r="C9" i="16"/>
  <c r="R99" i="2" l="1"/>
  <c r="F27" i="20"/>
  <c r="D28" i="20"/>
  <c r="B32" i="2"/>
  <c r="C32" i="2" s="1"/>
  <c r="T99" i="2" l="1"/>
  <c r="F28" i="20"/>
  <c r="W99" i="2" s="1"/>
  <c r="X99" i="2" s="1"/>
  <c r="D29" i="20"/>
  <c r="C28" i="2"/>
  <c r="U99" i="2" l="1"/>
  <c r="D30" i="20"/>
  <c r="F29" i="20"/>
  <c r="Z99" i="2" s="1"/>
  <c r="AA99" i="2" s="1"/>
  <c r="D31" i="20" l="1"/>
  <c r="F31" i="20" s="1"/>
  <c r="AF99" i="2" s="1"/>
  <c r="AG99" i="2" s="1"/>
  <c r="F30" i="20"/>
  <c r="AC99" i="2" s="1"/>
  <c r="AD99" i="2" s="1"/>
  <c r="C17" i="16"/>
  <c r="G11" i="4" l="1"/>
  <c r="F11" i="4"/>
  <c r="E11" i="4"/>
  <c r="D11" i="4"/>
  <c r="G10" i="4"/>
  <c r="F10" i="4"/>
  <c r="E10" i="4"/>
  <c r="D10" i="4"/>
  <c r="G9" i="4"/>
  <c r="F9" i="4"/>
  <c r="E9" i="4"/>
  <c r="D9" i="4"/>
  <c r="G8" i="4"/>
  <c r="F8" i="4"/>
  <c r="E8" i="4"/>
  <c r="D8" i="4"/>
  <c r="G7" i="4"/>
  <c r="F7" i="4"/>
  <c r="E7" i="4"/>
  <c r="D7" i="4"/>
  <c r="C7" i="4"/>
  <c r="G6" i="4"/>
  <c r="F6" i="4"/>
  <c r="E6" i="4"/>
  <c r="D6" i="4"/>
  <c r="D5" i="4"/>
  <c r="D17" i="10"/>
  <c r="C17" i="10"/>
  <c r="C18" i="10" s="1"/>
  <c r="C20" i="10" s="1"/>
  <c r="J14" i="10"/>
  <c r="I14" i="10"/>
  <c r="J13" i="10"/>
  <c r="I13" i="10"/>
  <c r="G13" i="10"/>
  <c r="F13" i="10"/>
  <c r="D13" i="10"/>
  <c r="C13" i="10"/>
  <c r="J12" i="10"/>
  <c r="I12" i="10"/>
  <c r="G12" i="10"/>
  <c r="F12" i="10"/>
  <c r="D12" i="10"/>
  <c r="C12" i="10"/>
  <c r="J11" i="10"/>
  <c r="I11" i="10"/>
  <c r="G11" i="10"/>
  <c r="F11" i="10"/>
  <c r="D11" i="10"/>
  <c r="C11" i="10"/>
  <c r="D10" i="10"/>
  <c r="G10" i="10" s="1"/>
  <c r="C10" i="10"/>
  <c r="F10" i="10" s="1"/>
  <c r="F17" i="10" s="1"/>
  <c r="F18" i="10" s="1"/>
  <c r="B10" i="10"/>
  <c r="A10" i="10"/>
  <c r="C9" i="10"/>
  <c r="D9" i="10" s="1"/>
  <c r="B9" i="10"/>
  <c r="A9" i="10"/>
  <c r="D8" i="10"/>
  <c r="C8" i="10"/>
  <c r="I6" i="10"/>
  <c r="F6" i="10"/>
  <c r="I5" i="10"/>
  <c r="F5" i="10"/>
  <c r="H57" i="9"/>
  <c r="E57" i="9"/>
  <c r="B57" i="9"/>
  <c r="H55" i="9"/>
  <c r="E55" i="9"/>
  <c r="B55" i="9"/>
  <c r="I53" i="9"/>
  <c r="H53" i="9"/>
  <c r="F53" i="9"/>
  <c r="E53" i="9"/>
  <c r="C53" i="9"/>
  <c r="B53" i="9"/>
  <c r="I52" i="9"/>
  <c r="H52" i="9"/>
  <c r="F52" i="9"/>
  <c r="E52" i="9"/>
  <c r="C52" i="9"/>
  <c r="B52" i="9"/>
  <c r="I50" i="9"/>
  <c r="H50" i="9"/>
  <c r="F50" i="9"/>
  <c r="E50" i="9"/>
  <c r="C50" i="9"/>
  <c r="B50" i="9"/>
  <c r="I49" i="9"/>
  <c r="H49" i="9"/>
  <c r="F49" i="9"/>
  <c r="E49" i="9"/>
  <c r="C49" i="9"/>
  <c r="B49" i="9"/>
  <c r="H48" i="9"/>
  <c r="E48" i="9"/>
  <c r="C48" i="9"/>
  <c r="B48" i="9"/>
  <c r="H46" i="9"/>
  <c r="E46" i="9"/>
  <c r="B43" i="9"/>
  <c r="H41" i="9"/>
  <c r="E41" i="9"/>
  <c r="H40" i="9"/>
  <c r="E40" i="9"/>
  <c r="H39" i="9"/>
  <c r="E39" i="9"/>
  <c r="B39" i="9"/>
  <c r="I38" i="9"/>
  <c r="H38" i="9"/>
  <c r="F38" i="9"/>
  <c r="E38" i="9"/>
  <c r="C38" i="9"/>
  <c r="B38" i="9"/>
  <c r="I37" i="9"/>
  <c r="H37" i="9"/>
  <c r="E37" i="9"/>
  <c r="B37" i="9"/>
  <c r="I36" i="9"/>
  <c r="H36" i="9"/>
  <c r="F36" i="9"/>
  <c r="E36" i="9"/>
  <c r="C36" i="9"/>
  <c r="B36" i="9"/>
  <c r="I34" i="9"/>
  <c r="H34" i="9"/>
  <c r="F34" i="9"/>
  <c r="E34" i="9"/>
  <c r="C34" i="9"/>
  <c r="B34" i="9"/>
  <c r="I33" i="9"/>
  <c r="H33" i="9"/>
  <c r="F33" i="9"/>
  <c r="E33" i="9"/>
  <c r="C33" i="9"/>
  <c r="B33" i="9"/>
  <c r="I32" i="9"/>
  <c r="H32" i="9"/>
  <c r="F32" i="9"/>
  <c r="E32" i="9"/>
  <c r="C32" i="9"/>
  <c r="B32" i="9"/>
  <c r="H31" i="9"/>
  <c r="E31" i="9"/>
  <c r="B31" i="9"/>
  <c r="I29" i="9"/>
  <c r="H29" i="9"/>
  <c r="F29" i="9"/>
  <c r="E29" i="9"/>
  <c r="C29" i="9"/>
  <c r="B29" i="9"/>
  <c r="I27" i="9"/>
  <c r="H27" i="9"/>
  <c r="F27" i="9"/>
  <c r="E27" i="9"/>
  <c r="C27" i="9"/>
  <c r="B27" i="9"/>
  <c r="H26" i="9"/>
  <c r="E26" i="9"/>
  <c r="B26" i="9"/>
  <c r="I25" i="9"/>
  <c r="H25" i="9"/>
  <c r="F25" i="9"/>
  <c r="E25" i="9"/>
  <c r="B25" i="9"/>
  <c r="I23" i="9"/>
  <c r="H23" i="9"/>
  <c r="F23" i="9"/>
  <c r="E23" i="9"/>
  <c r="C23" i="9"/>
  <c r="B23" i="9"/>
  <c r="I21" i="9"/>
  <c r="H21" i="9"/>
  <c r="F21" i="9"/>
  <c r="E21" i="9"/>
  <c r="C21" i="9"/>
  <c r="B21" i="9"/>
  <c r="C20" i="9"/>
  <c r="B20" i="9"/>
  <c r="I19" i="9"/>
  <c r="H19" i="9"/>
  <c r="F19" i="9"/>
  <c r="E19" i="9"/>
  <c r="C19" i="9"/>
  <c r="B19" i="9"/>
  <c r="B18" i="9"/>
  <c r="C17" i="9"/>
  <c r="B17" i="9"/>
  <c r="C16" i="9"/>
  <c r="B16" i="9"/>
  <c r="I13" i="9"/>
  <c r="H13" i="9"/>
  <c r="F13" i="9"/>
  <c r="E13" i="9"/>
  <c r="H12" i="9"/>
  <c r="E12" i="9"/>
  <c r="B12" i="9"/>
  <c r="H11" i="9"/>
  <c r="E11" i="9"/>
  <c r="B11" i="9"/>
  <c r="H9" i="9"/>
  <c r="E9" i="9"/>
  <c r="H8" i="9"/>
  <c r="E8" i="9"/>
  <c r="B5" i="9"/>
  <c r="B8" i="16"/>
  <c r="B9" i="16" s="1"/>
  <c r="A3" i="16"/>
  <c r="A1" i="16"/>
  <c r="E17" i="18"/>
  <c r="E17" i="16" s="1"/>
  <c r="C17" i="18"/>
  <c r="E13" i="18"/>
  <c r="E13" i="16" s="1"/>
  <c r="D13" i="18"/>
  <c r="E9" i="18"/>
  <c r="E9" i="16" s="1"/>
  <c r="E8" i="18"/>
  <c r="E8" i="16" s="1"/>
  <c r="C8" i="18"/>
  <c r="A3" i="18"/>
  <c r="A1" i="18"/>
  <c r="C103" i="2"/>
  <c r="B103" i="2"/>
  <c r="E100" i="2"/>
  <c r="E95" i="2"/>
  <c r="F95" i="2" s="1"/>
  <c r="E92" i="2"/>
  <c r="H92" i="2" s="1"/>
  <c r="C84" i="2"/>
  <c r="B84" i="2"/>
  <c r="AF84" i="2"/>
  <c r="AC84" i="2"/>
  <c r="Z84" i="2"/>
  <c r="W84" i="2"/>
  <c r="T84" i="2"/>
  <c r="R83" i="2"/>
  <c r="R84" i="2" s="1"/>
  <c r="N84" i="2"/>
  <c r="K84" i="2"/>
  <c r="H84" i="2"/>
  <c r="E84" i="2"/>
  <c r="AF80" i="2"/>
  <c r="AF109" i="2" s="1"/>
  <c r="B80" i="2"/>
  <c r="B79" i="2"/>
  <c r="B108" i="2" s="1"/>
  <c r="C70" i="2"/>
  <c r="B70" i="2"/>
  <c r="C53" i="2"/>
  <c r="B53" i="2"/>
  <c r="AF49" i="2"/>
  <c r="AG66" i="2" s="1"/>
  <c r="B49" i="2"/>
  <c r="B72" i="2" s="1"/>
  <c r="B48" i="2"/>
  <c r="C33" i="2"/>
  <c r="C20" i="2"/>
  <c r="C22" i="2" s="1"/>
  <c r="C15" i="2"/>
  <c r="B14" i="2"/>
  <c r="B10" i="2"/>
  <c r="E4" i="2"/>
  <c r="E3" i="2"/>
  <c r="E48" i="2" s="1"/>
  <c r="A1" i="2"/>
  <c r="A45" i="2" s="1"/>
  <c r="A3" i="15"/>
  <c r="A1" i="15"/>
  <c r="B133" i="14"/>
  <c r="B85" i="14" s="1"/>
  <c r="C85" i="14" s="1"/>
  <c r="C93" i="14"/>
  <c r="C91" i="14"/>
  <c r="C90" i="14"/>
  <c r="B86" i="14"/>
  <c r="C83" i="14"/>
  <c r="C82" i="14"/>
  <c r="C81" i="14"/>
  <c r="C53" i="14"/>
  <c r="C37" i="14"/>
  <c r="C35" i="14"/>
  <c r="B9" i="18" s="1"/>
  <c r="E10" i="2" l="1"/>
  <c r="F10" i="2" s="1"/>
  <c r="E138" i="2"/>
  <c r="E144" i="2" s="1"/>
  <c r="E145" i="2" s="1"/>
  <c r="F29" i="2"/>
  <c r="B87" i="14"/>
  <c r="C28" i="21" s="1"/>
  <c r="W94" i="2" s="1"/>
  <c r="C14" i="2"/>
  <c r="E14" i="2"/>
  <c r="F14" i="2" s="1"/>
  <c r="B12" i="2"/>
  <c r="E12" i="2" s="1"/>
  <c r="B11" i="2"/>
  <c r="E11" i="2" s="1"/>
  <c r="F11" i="2" s="1"/>
  <c r="B13" i="16"/>
  <c r="D13" i="16" s="1"/>
  <c r="F13" i="16" s="1"/>
  <c r="B169" i="14"/>
  <c r="C86" i="14"/>
  <c r="H100" i="2"/>
  <c r="I100" i="2" s="1"/>
  <c r="F100" i="2"/>
  <c r="B109" i="2"/>
  <c r="B105" i="2"/>
  <c r="D9" i="18"/>
  <c r="F9" i="18" s="1"/>
  <c r="B8" i="2"/>
  <c r="B40" i="2" s="1"/>
  <c r="H4" i="2"/>
  <c r="E93" i="2"/>
  <c r="F93" i="2" s="1"/>
  <c r="B13" i="2"/>
  <c r="D9" i="16"/>
  <c r="F9" i="16" s="1"/>
  <c r="C39" i="14"/>
  <c r="F13" i="18"/>
  <c r="D8" i="18"/>
  <c r="F8" i="18" s="1"/>
  <c r="H95" i="2"/>
  <c r="C74" i="2"/>
  <c r="C7" i="2"/>
  <c r="C8" i="2" s="1"/>
  <c r="N89" i="2"/>
  <c r="O89" i="2" s="1"/>
  <c r="U83" i="2"/>
  <c r="U84" i="2" s="1"/>
  <c r="U85" i="2" s="1"/>
  <c r="X83" i="2"/>
  <c r="X84" i="2" s="1"/>
  <c r="B74" i="2"/>
  <c r="AG83" i="2"/>
  <c r="AG84" i="2" s="1"/>
  <c r="I83" i="2"/>
  <c r="I84" i="2" s="1"/>
  <c r="C105" i="2"/>
  <c r="Q84" i="2"/>
  <c r="L83" i="2"/>
  <c r="L84" i="2" s="1"/>
  <c r="O83" i="2"/>
  <c r="O84" i="2" s="1"/>
  <c r="R85" i="2" s="1"/>
  <c r="K90" i="2"/>
  <c r="L90" i="2" s="1"/>
  <c r="K92" i="2"/>
  <c r="I92" i="2"/>
  <c r="K97" i="2"/>
  <c r="L97" i="2" s="1"/>
  <c r="K98" i="2"/>
  <c r="L98" i="2" s="1"/>
  <c r="G17" i="10"/>
  <c r="J10" i="10"/>
  <c r="J17" i="10" s="1"/>
  <c r="F92" i="2"/>
  <c r="F83" i="2"/>
  <c r="F84" i="2" s="1"/>
  <c r="AD83" i="2"/>
  <c r="AD84" i="2" s="1"/>
  <c r="D8" i="16"/>
  <c r="F8" i="16" s="1"/>
  <c r="I10" i="10"/>
  <c r="I17" i="10" s="1"/>
  <c r="I18" i="10" s="1"/>
  <c r="AA83" i="2"/>
  <c r="AA84" i="2" s="1"/>
  <c r="H3" i="2"/>
  <c r="E80" i="2"/>
  <c r="E49" i="2"/>
  <c r="F52" i="2" s="1"/>
  <c r="A76" i="2"/>
  <c r="E79" i="2"/>
  <c r="E108" i="2" s="1"/>
  <c r="C94" i="14" l="1"/>
  <c r="E102" i="2"/>
  <c r="E140" i="2"/>
  <c r="E141" i="2" s="1"/>
  <c r="E142" i="2" s="1"/>
  <c r="C26" i="21"/>
  <c r="Q94" i="2" s="1"/>
  <c r="C87" i="14"/>
  <c r="C24" i="21"/>
  <c r="K94" i="2" s="1"/>
  <c r="C29" i="21"/>
  <c r="Z94" i="2" s="1"/>
  <c r="C8" i="21"/>
  <c r="D8" i="21" s="1"/>
  <c r="C16" i="21"/>
  <c r="AC61" i="2" s="1"/>
  <c r="I85" i="2"/>
  <c r="L85" i="2"/>
  <c r="C14" i="21"/>
  <c r="W61" i="2" s="1"/>
  <c r="C13" i="21"/>
  <c r="T61" i="2" s="1"/>
  <c r="C11" i="21"/>
  <c r="N61" i="2" s="1"/>
  <c r="C9" i="21"/>
  <c r="H61" i="2" s="1"/>
  <c r="I61" i="2" s="1"/>
  <c r="C17" i="21"/>
  <c r="AF61" i="2" s="1"/>
  <c r="C27" i="21"/>
  <c r="T94" i="2" s="1"/>
  <c r="E13" i="2"/>
  <c r="F13" i="2" s="1"/>
  <c r="F19" i="18"/>
  <c r="B22" i="18" s="1"/>
  <c r="C30" i="21"/>
  <c r="AC94" i="2" s="1"/>
  <c r="C22" i="21"/>
  <c r="D22" i="21" s="1"/>
  <c r="C31" i="21"/>
  <c r="AF94" i="2" s="1"/>
  <c r="C12" i="21"/>
  <c r="Q61" i="2" s="1"/>
  <c r="C25" i="21"/>
  <c r="N94" i="2" s="1"/>
  <c r="C10" i="21"/>
  <c r="K61" i="2" s="1"/>
  <c r="C23" i="21"/>
  <c r="H94" i="2" s="1"/>
  <c r="C15" i="21"/>
  <c r="Z61" i="2" s="1"/>
  <c r="F12" i="2"/>
  <c r="H130" i="2"/>
  <c r="H131" i="2" s="1"/>
  <c r="H128" i="2"/>
  <c r="C11" i="2"/>
  <c r="H138" i="2"/>
  <c r="H144" i="2" s="1"/>
  <c r="H145" i="2" s="1"/>
  <c r="F66" i="2"/>
  <c r="E72" i="2"/>
  <c r="I29" i="2"/>
  <c r="C12" i="2"/>
  <c r="H12" i="2"/>
  <c r="I12" i="2" s="1"/>
  <c r="H10" i="2"/>
  <c r="H11" i="2"/>
  <c r="K100" i="2"/>
  <c r="L100" i="2" s="1"/>
  <c r="E67" i="2"/>
  <c r="F67" i="2" s="1"/>
  <c r="E57" i="2"/>
  <c r="F57" i="2" s="1"/>
  <c r="E56" i="2"/>
  <c r="F56" i="2" s="1"/>
  <c r="E64" i="2"/>
  <c r="F64" i="2" s="1"/>
  <c r="E65" i="2"/>
  <c r="F65" i="2" s="1"/>
  <c r="E68" i="2"/>
  <c r="F68" i="2" s="1"/>
  <c r="E58" i="2"/>
  <c r="F58" i="2" s="1"/>
  <c r="H80" i="2"/>
  <c r="H109" i="2" s="1"/>
  <c r="E109" i="2"/>
  <c r="B41" i="2"/>
  <c r="C41" i="2" s="1"/>
  <c r="K4" i="2"/>
  <c r="F10" i="16"/>
  <c r="C13" i="2"/>
  <c r="B16" i="2"/>
  <c r="B18" i="2" s="1"/>
  <c r="C18" i="2" s="1"/>
  <c r="X85" i="2"/>
  <c r="O85" i="2"/>
  <c r="H93" i="2"/>
  <c r="I93" i="2" s="1"/>
  <c r="H49" i="2"/>
  <c r="H52" i="2" s="1"/>
  <c r="K91" i="2"/>
  <c r="L91" i="2" s="1"/>
  <c r="AG85" i="2"/>
  <c r="F10" i="18"/>
  <c r="Q89" i="2"/>
  <c r="H14" i="2"/>
  <c r="I14" i="2" s="1"/>
  <c r="K95" i="2"/>
  <c r="I95" i="2"/>
  <c r="N90" i="2"/>
  <c r="O90" i="2" s="1"/>
  <c r="H79" i="2"/>
  <c r="H108" i="2" s="1"/>
  <c r="H48" i="2"/>
  <c r="K3" i="2"/>
  <c r="N92" i="2"/>
  <c r="O92" i="2" s="1"/>
  <c r="L92" i="2"/>
  <c r="AD85" i="2"/>
  <c r="N98" i="2"/>
  <c r="O98" i="2" s="1"/>
  <c r="N101" i="2"/>
  <c r="O101" i="2" s="1"/>
  <c r="E62" i="2"/>
  <c r="E69" i="2"/>
  <c r="H69" i="2" s="1"/>
  <c r="E60" i="2"/>
  <c r="N97" i="2"/>
  <c r="O97" i="2" s="1"/>
  <c r="AA85" i="2"/>
  <c r="C96" i="14" l="1"/>
  <c r="H102" i="2"/>
  <c r="F102" i="2"/>
  <c r="D9" i="21"/>
  <c r="D10" i="21" s="1"/>
  <c r="E148" i="2"/>
  <c r="E146" i="2" s="1"/>
  <c r="E149" i="2" s="1"/>
  <c r="E151" i="2" s="1"/>
  <c r="E61" i="2"/>
  <c r="F61" i="2" s="1"/>
  <c r="E94" i="2"/>
  <c r="F94" i="2" s="1"/>
  <c r="D23" i="21"/>
  <c r="D24" i="21" s="1"/>
  <c r="D25" i="21" s="1"/>
  <c r="D26" i="21" s="1"/>
  <c r="D27" i="21" s="1"/>
  <c r="D28" i="21" s="1"/>
  <c r="D29" i="21" s="1"/>
  <c r="D30" i="21" s="1"/>
  <c r="D31" i="21" s="1"/>
  <c r="H13" i="2"/>
  <c r="E15" i="2"/>
  <c r="K128" i="2"/>
  <c r="H140" i="2"/>
  <c r="H141" i="2" s="1"/>
  <c r="H142" i="2" s="1"/>
  <c r="K138" i="2"/>
  <c r="K144" i="2" s="1"/>
  <c r="K145" i="2" s="1"/>
  <c r="N100" i="2"/>
  <c r="Q100" i="2" s="1"/>
  <c r="I66" i="2"/>
  <c r="I72" i="2"/>
  <c r="H72" i="2"/>
  <c r="L29" i="2"/>
  <c r="C16" i="2"/>
  <c r="K12" i="2"/>
  <c r="L12" i="2" s="1"/>
  <c r="L61" i="2"/>
  <c r="K11" i="2"/>
  <c r="I11" i="2"/>
  <c r="K10" i="2"/>
  <c r="I10" i="2"/>
  <c r="I69" i="2"/>
  <c r="H64" i="2"/>
  <c r="I64" i="2" s="1"/>
  <c r="H65" i="2"/>
  <c r="I65" i="2" s="1"/>
  <c r="H57" i="2"/>
  <c r="I57" i="2" s="1"/>
  <c r="H58" i="2"/>
  <c r="I58" i="2" s="1"/>
  <c r="H68" i="2"/>
  <c r="I68" i="2" s="1"/>
  <c r="H56" i="2"/>
  <c r="I56" i="2" s="1"/>
  <c r="K80" i="2"/>
  <c r="K109" i="2" s="1"/>
  <c r="K49" i="2"/>
  <c r="N4" i="2"/>
  <c r="H67" i="2"/>
  <c r="I67" i="2" s="1"/>
  <c r="T89" i="2"/>
  <c r="U89" i="2" s="1"/>
  <c r="R89" i="2"/>
  <c r="F53" i="2"/>
  <c r="E59" i="2"/>
  <c r="K93" i="2"/>
  <c r="N93" i="2" s="1"/>
  <c r="O93" i="2" s="1"/>
  <c r="H60" i="2"/>
  <c r="I60" i="2" s="1"/>
  <c r="H62" i="2"/>
  <c r="I62" i="2" s="1"/>
  <c r="N91" i="2"/>
  <c r="O91" i="2" s="1"/>
  <c r="F69" i="2"/>
  <c r="N95" i="2"/>
  <c r="L95" i="2"/>
  <c r="K14" i="2"/>
  <c r="L14" i="2" s="1"/>
  <c r="Q101" i="2"/>
  <c r="R101" i="2" s="1"/>
  <c r="Q92" i="2"/>
  <c r="Q97" i="2"/>
  <c r="R97" i="2" s="1"/>
  <c r="K79" i="2"/>
  <c r="K108" i="2" s="1"/>
  <c r="K48" i="2"/>
  <c r="N3" i="2"/>
  <c r="F60" i="2"/>
  <c r="I94" i="2"/>
  <c r="F62" i="2"/>
  <c r="Q90" i="2"/>
  <c r="R90" i="2" s="1"/>
  <c r="E53" i="2"/>
  <c r="Q98" i="2"/>
  <c r="R98" i="2" s="1"/>
  <c r="K69" i="2"/>
  <c r="N69" i="2" s="1"/>
  <c r="K102" i="2" l="1"/>
  <c r="I102" i="2"/>
  <c r="E14" i="15"/>
  <c r="Z20" i="2" s="1"/>
  <c r="H15" i="2"/>
  <c r="I15" i="2" s="1"/>
  <c r="I16" i="2" s="1"/>
  <c r="K13" i="2"/>
  <c r="I13" i="2"/>
  <c r="F15" i="2"/>
  <c r="F16" i="2" s="1"/>
  <c r="E16" i="2"/>
  <c r="E152" i="2"/>
  <c r="E153" i="2" s="1"/>
  <c r="N128" i="2"/>
  <c r="D11" i="21"/>
  <c r="K15" i="2"/>
  <c r="L15" i="2" s="1"/>
  <c r="R61" i="2"/>
  <c r="H148" i="2"/>
  <c r="K140" i="2"/>
  <c r="K141" i="2" s="1"/>
  <c r="K142" i="2" s="1"/>
  <c r="N138" i="2"/>
  <c r="N144" i="2" s="1"/>
  <c r="N145" i="2" s="1"/>
  <c r="O100" i="2"/>
  <c r="N12" i="2"/>
  <c r="Q12" i="2" s="1"/>
  <c r="O29" i="2"/>
  <c r="L66" i="2"/>
  <c r="K72" i="2"/>
  <c r="L72" i="2"/>
  <c r="N10" i="2"/>
  <c r="L10" i="2"/>
  <c r="N11" i="2"/>
  <c r="L11" i="2"/>
  <c r="N80" i="2"/>
  <c r="N109" i="2" s="1"/>
  <c r="Q4" i="2"/>
  <c r="N49" i="2"/>
  <c r="O69" i="2" s="1"/>
  <c r="W89" i="2"/>
  <c r="X89" i="2" s="1"/>
  <c r="E30" i="15"/>
  <c r="F8" i="15"/>
  <c r="F22" i="15"/>
  <c r="K64" i="2"/>
  <c r="K57" i="2"/>
  <c r="K56" i="2"/>
  <c r="K68" i="2"/>
  <c r="N68" i="2" s="1"/>
  <c r="O68" i="2" s="1"/>
  <c r="K58" i="2"/>
  <c r="K65" i="2"/>
  <c r="K52" i="2"/>
  <c r="K53" i="2" s="1"/>
  <c r="K67" i="2"/>
  <c r="L67" i="2" s="1"/>
  <c r="Q69" i="2"/>
  <c r="L93" i="2"/>
  <c r="D21" i="15"/>
  <c r="D26" i="15"/>
  <c r="E13" i="15"/>
  <c r="W20" i="2" s="1"/>
  <c r="D12" i="15"/>
  <c r="F24" i="15"/>
  <c r="D25" i="15"/>
  <c r="D19" i="15"/>
  <c r="B24" i="2"/>
  <c r="B26" i="2" s="1"/>
  <c r="D28" i="15"/>
  <c r="F20" i="15"/>
  <c r="F7" i="15"/>
  <c r="F21" i="15"/>
  <c r="F12" i="15"/>
  <c r="F19" i="15"/>
  <c r="Q93" i="2"/>
  <c r="T93" i="2" s="1"/>
  <c r="W93" i="2" s="1"/>
  <c r="Z93" i="2" s="1"/>
  <c r="D23" i="15"/>
  <c r="F17" i="15"/>
  <c r="E12" i="15"/>
  <c r="T20" i="2" s="1"/>
  <c r="E10" i="15"/>
  <c r="N20" i="2" s="1"/>
  <c r="O20" i="2" s="1"/>
  <c r="D31" i="15"/>
  <c r="E25" i="15"/>
  <c r="D7" i="15"/>
  <c r="E8" i="15"/>
  <c r="H20" i="2" s="1"/>
  <c r="E17" i="15"/>
  <c r="D30" i="15"/>
  <c r="D8" i="15"/>
  <c r="E15" i="15"/>
  <c r="AC20" i="2" s="1"/>
  <c r="E27" i="15"/>
  <c r="E23" i="15"/>
  <c r="F31" i="15"/>
  <c r="F9" i="15"/>
  <c r="D29" i="15"/>
  <c r="D11" i="15"/>
  <c r="D9" i="15"/>
  <c r="F15" i="15"/>
  <c r="E26" i="15"/>
  <c r="D24" i="15"/>
  <c r="E11" i="15"/>
  <c r="Q20" i="2" s="1"/>
  <c r="F13" i="15"/>
  <c r="D22" i="15"/>
  <c r="D13" i="15"/>
  <c r="E20" i="15"/>
  <c r="E24" i="15"/>
  <c r="F11" i="15"/>
  <c r="D27" i="15"/>
  <c r="D20" i="15"/>
  <c r="F16" i="15"/>
  <c r="E22" i="15"/>
  <c r="E21" i="15"/>
  <c r="E9" i="15"/>
  <c r="K20" i="2" s="1"/>
  <c r="F26" i="15"/>
  <c r="F23" i="15"/>
  <c r="D17" i="15"/>
  <c r="F30" i="15"/>
  <c r="E18" i="15"/>
  <c r="E7" i="15"/>
  <c r="E20" i="2" s="1"/>
  <c r="F29" i="15"/>
  <c r="E31" i="15"/>
  <c r="D18" i="15"/>
  <c r="E29" i="15"/>
  <c r="D16" i="15"/>
  <c r="F27" i="15"/>
  <c r="D10" i="15"/>
  <c r="F14" i="15"/>
  <c r="E19" i="15"/>
  <c r="D14" i="15"/>
  <c r="E28" i="15"/>
  <c r="F18" i="15"/>
  <c r="K60" i="2"/>
  <c r="L60" i="2" s="1"/>
  <c r="AC114" i="2"/>
  <c r="K62" i="2"/>
  <c r="L62" i="2" s="1"/>
  <c r="F10" i="15"/>
  <c r="E16" i="15"/>
  <c r="F25" i="15"/>
  <c r="D15" i="15"/>
  <c r="F28" i="15"/>
  <c r="Q91" i="2"/>
  <c r="R91" i="2" s="1"/>
  <c r="N14" i="2"/>
  <c r="O14" i="2" s="1"/>
  <c r="O95" i="2"/>
  <c r="Q95" i="2"/>
  <c r="L94" i="2"/>
  <c r="N79" i="2"/>
  <c r="N108" i="2" s="1"/>
  <c r="Q3" i="2"/>
  <c r="N48" i="2"/>
  <c r="T90" i="2"/>
  <c r="U90" i="2" s="1"/>
  <c r="T97" i="2"/>
  <c r="U97" i="2" s="1"/>
  <c r="T92" i="2"/>
  <c r="R92" i="2"/>
  <c r="T101" i="2"/>
  <c r="U101" i="2" s="1"/>
  <c r="H53" i="2"/>
  <c r="I52" i="2"/>
  <c r="I53" i="2" s="1"/>
  <c r="I54" i="2" s="1"/>
  <c r="H59" i="2"/>
  <c r="F59" i="2"/>
  <c r="T98" i="2"/>
  <c r="U98" i="2" s="1"/>
  <c r="T100" i="2"/>
  <c r="R100" i="2"/>
  <c r="L69" i="2"/>
  <c r="Z89" i="2" l="1"/>
  <c r="AA89" i="2" s="1"/>
  <c r="N102" i="2"/>
  <c r="L102" i="2"/>
  <c r="L13" i="2"/>
  <c r="L16" i="2" s="1"/>
  <c r="N13" i="2"/>
  <c r="Q128" i="2"/>
  <c r="F20" i="2"/>
  <c r="H146" i="2"/>
  <c r="H149" i="2" s="1"/>
  <c r="H152" i="2" s="1"/>
  <c r="D12" i="21"/>
  <c r="N15" i="2"/>
  <c r="O15" i="2" s="1"/>
  <c r="O61" i="2"/>
  <c r="K148" i="2"/>
  <c r="K146" i="2" s="1"/>
  <c r="N140" i="2"/>
  <c r="N141" i="2" s="1"/>
  <c r="N142" i="2" s="1"/>
  <c r="Q80" i="2"/>
  <c r="Q109" i="2" s="1"/>
  <c r="Q138" i="2"/>
  <c r="Q144" i="2" s="1"/>
  <c r="Q145" i="2" s="1"/>
  <c r="N64" i="2"/>
  <c r="O64" i="2" s="1"/>
  <c r="N65" i="2"/>
  <c r="O65" i="2" s="1"/>
  <c r="N56" i="2"/>
  <c r="O56" i="2" s="1"/>
  <c r="N57" i="2"/>
  <c r="O57" i="2" s="1"/>
  <c r="N58" i="2"/>
  <c r="O58" i="2" s="1"/>
  <c r="O12" i="2"/>
  <c r="T4" i="2"/>
  <c r="Q49" i="2"/>
  <c r="R69" i="2" s="1"/>
  <c r="R12" i="2"/>
  <c r="O66" i="2"/>
  <c r="O72" i="2"/>
  <c r="N72" i="2"/>
  <c r="R29" i="2"/>
  <c r="R20" i="2"/>
  <c r="I20" i="2"/>
  <c r="L20" i="2"/>
  <c r="L57" i="2"/>
  <c r="Q11" i="2"/>
  <c r="R11" i="2" s="1"/>
  <c r="O11" i="2"/>
  <c r="Q10" i="2"/>
  <c r="O10" i="2"/>
  <c r="C26" i="2"/>
  <c r="L58" i="2"/>
  <c r="N52" i="2"/>
  <c r="N53" i="2" s="1"/>
  <c r="L52" i="2"/>
  <c r="L53" i="2" s="1"/>
  <c r="L54" i="2" s="1"/>
  <c r="L56" i="2"/>
  <c r="T114" i="2"/>
  <c r="U114" i="2" s="1"/>
  <c r="L68" i="2"/>
  <c r="Q114" i="2"/>
  <c r="R114" i="2" s="1"/>
  <c r="H114" i="2"/>
  <c r="I114" i="2" s="1"/>
  <c r="Z114" i="2"/>
  <c r="AA114" i="2" s="1"/>
  <c r="AF114" i="2"/>
  <c r="L65" i="2"/>
  <c r="L64" i="2"/>
  <c r="I59" i="2"/>
  <c r="T69" i="2"/>
  <c r="W69" i="2" s="1"/>
  <c r="H7" i="15"/>
  <c r="H8" i="15" s="1"/>
  <c r="H9" i="15" s="1"/>
  <c r="H10" i="15" s="1"/>
  <c r="H11" i="15" s="1"/>
  <c r="H12" i="15" s="1"/>
  <c r="H13" i="15" s="1"/>
  <c r="H14" i="15" s="1"/>
  <c r="H15" i="15" s="1"/>
  <c r="H16" i="15" s="1"/>
  <c r="H17" i="15" s="1"/>
  <c r="H18" i="15" s="1"/>
  <c r="H19" i="15" s="1"/>
  <c r="H20" i="15" s="1"/>
  <c r="H21" i="15" s="1"/>
  <c r="H22" i="15" s="1"/>
  <c r="H23" i="15" s="1"/>
  <c r="H24" i="15" s="1"/>
  <c r="H25" i="15" s="1"/>
  <c r="H26" i="15" s="1"/>
  <c r="H27" i="15" s="1"/>
  <c r="H28" i="15" s="1"/>
  <c r="H29" i="15" s="1"/>
  <c r="H30" i="15" s="1"/>
  <c r="H31" i="15" s="1"/>
  <c r="N60" i="2"/>
  <c r="K114" i="2"/>
  <c r="L114" i="2" s="1"/>
  <c r="C24" i="2"/>
  <c r="U93" i="2"/>
  <c r="R93" i="2"/>
  <c r="G7" i="15"/>
  <c r="X93" i="2"/>
  <c r="N114" i="2"/>
  <c r="O114" i="2" s="1"/>
  <c r="W114" i="2"/>
  <c r="X114" i="2" s="1"/>
  <c r="N67" i="2"/>
  <c r="AD114" i="2"/>
  <c r="N62" i="2"/>
  <c r="T91" i="2"/>
  <c r="U91" i="2" s="1"/>
  <c r="R95" i="2"/>
  <c r="T95" i="2"/>
  <c r="Q14" i="2"/>
  <c r="R14" i="2" s="1"/>
  <c r="AC93" i="2"/>
  <c r="AA93" i="2"/>
  <c r="W92" i="2"/>
  <c r="U92" i="2"/>
  <c r="W101" i="2"/>
  <c r="X101" i="2" s="1"/>
  <c r="Q79" i="2"/>
  <c r="Q108" i="2" s="1"/>
  <c r="T3" i="2"/>
  <c r="Q48" i="2"/>
  <c r="W100" i="2"/>
  <c r="U100" i="2"/>
  <c r="K59" i="2"/>
  <c r="W90" i="2"/>
  <c r="X90" i="2" s="1"/>
  <c r="O94" i="2"/>
  <c r="W98" i="2"/>
  <c r="X98" i="2" s="1"/>
  <c r="W97" i="2"/>
  <c r="X97" i="2" s="1"/>
  <c r="T12" i="2"/>
  <c r="AC89" i="2"/>
  <c r="AD89" i="2" s="1"/>
  <c r="O102" i="2" l="1"/>
  <c r="Q102" i="2"/>
  <c r="O13" i="2"/>
  <c r="Q13" i="2"/>
  <c r="C8" i="15"/>
  <c r="G8" i="15" s="1"/>
  <c r="H24" i="2" s="1"/>
  <c r="I24" i="2" s="1"/>
  <c r="E24" i="2"/>
  <c r="F24" i="2" s="1"/>
  <c r="T128" i="2"/>
  <c r="D13" i="21"/>
  <c r="Q15" i="2"/>
  <c r="R15" i="2" s="1"/>
  <c r="N148" i="2"/>
  <c r="N146" i="2" s="1"/>
  <c r="Q140" i="2"/>
  <c r="Q141" i="2" s="1"/>
  <c r="Q142" i="2" s="1"/>
  <c r="W4" i="2"/>
  <c r="Q68" i="2"/>
  <c r="R68" i="2" s="1"/>
  <c r="Q57" i="2"/>
  <c r="R57" i="2" s="1"/>
  <c r="Q65" i="2"/>
  <c r="R65" i="2" s="1"/>
  <c r="Q64" i="2"/>
  <c r="R64" i="2" s="1"/>
  <c r="R66" i="2"/>
  <c r="R72" i="2"/>
  <c r="Q72" i="2"/>
  <c r="Q56" i="2"/>
  <c r="R56" i="2" s="1"/>
  <c r="Q58" i="2"/>
  <c r="R58" i="2" s="1"/>
  <c r="T80" i="2"/>
  <c r="T109" i="2" s="1"/>
  <c r="U20" i="2"/>
  <c r="T49" i="2"/>
  <c r="U12" i="2"/>
  <c r="U29" i="2"/>
  <c r="O52" i="2"/>
  <c r="O53" i="2" s="1"/>
  <c r="O54" i="2" s="1"/>
  <c r="Q52" i="2"/>
  <c r="Q53" i="2" s="1"/>
  <c r="O16" i="2"/>
  <c r="R10" i="2"/>
  <c r="AG114" i="2"/>
  <c r="O60" i="2"/>
  <c r="Q60" i="2"/>
  <c r="R60" i="2" s="1"/>
  <c r="Z69" i="2"/>
  <c r="AC69" i="2" s="1"/>
  <c r="O67" i="2"/>
  <c r="Q67" i="2"/>
  <c r="R67" i="2" s="1"/>
  <c r="O62" i="2"/>
  <c r="Q62" i="2"/>
  <c r="R62" i="2" s="1"/>
  <c r="W91" i="2"/>
  <c r="X91" i="2" s="1"/>
  <c r="T14" i="2"/>
  <c r="U14" i="2" s="1"/>
  <c r="W95" i="2"/>
  <c r="U95" i="2"/>
  <c r="Z101" i="2"/>
  <c r="AA101" i="2" s="1"/>
  <c r="R94" i="2"/>
  <c r="Z97" i="2"/>
  <c r="AA97" i="2" s="1"/>
  <c r="Z100" i="2"/>
  <c r="X100" i="2"/>
  <c r="W12" i="2"/>
  <c r="Z90" i="2"/>
  <c r="AA90" i="2" s="1"/>
  <c r="Z98" i="2"/>
  <c r="AA98" i="2" s="1"/>
  <c r="Z92" i="2"/>
  <c r="X92" i="2"/>
  <c r="L59" i="2"/>
  <c r="N59" i="2"/>
  <c r="W3" i="2"/>
  <c r="T48" i="2"/>
  <c r="T79" i="2"/>
  <c r="T108" i="2" s="1"/>
  <c r="AF89" i="2"/>
  <c r="AG89" i="2" s="1"/>
  <c r="U61" i="2"/>
  <c r="AF93" i="2"/>
  <c r="AG93" i="2" s="1"/>
  <c r="AD93" i="2"/>
  <c r="T102" i="2" l="1"/>
  <c r="R102" i="2"/>
  <c r="T13" i="2"/>
  <c r="R13" i="2"/>
  <c r="R16" i="2" s="1"/>
  <c r="C9" i="15"/>
  <c r="G9" i="15" s="1"/>
  <c r="K24" i="2" s="1"/>
  <c r="L24" i="2" s="1"/>
  <c r="W128" i="2"/>
  <c r="D14" i="21"/>
  <c r="T15" i="2"/>
  <c r="U15" i="2" s="1"/>
  <c r="W138" i="2"/>
  <c r="W144" i="2" s="1"/>
  <c r="W145" i="2" s="1"/>
  <c r="Q148" i="2"/>
  <c r="W80" i="2"/>
  <c r="W109" i="2" s="1"/>
  <c r="X29" i="2"/>
  <c r="W49" i="2"/>
  <c r="W72" i="2" s="1"/>
  <c r="Z4" i="2"/>
  <c r="X20" i="2"/>
  <c r="X12" i="2"/>
  <c r="T64" i="2"/>
  <c r="U64" i="2" s="1"/>
  <c r="U69" i="2"/>
  <c r="T58" i="2"/>
  <c r="U58" i="2" s="1"/>
  <c r="T65" i="2"/>
  <c r="U65" i="2" s="1"/>
  <c r="T57" i="2"/>
  <c r="U57" i="2" s="1"/>
  <c r="T56" i="2"/>
  <c r="U56" i="2" s="1"/>
  <c r="U66" i="2"/>
  <c r="T68" i="2"/>
  <c r="U68" i="2" s="1"/>
  <c r="R52" i="2"/>
  <c r="R53" i="2" s="1"/>
  <c r="R54" i="2" s="1"/>
  <c r="T52" i="2"/>
  <c r="T53" i="2" s="1"/>
  <c r="T60" i="2"/>
  <c r="U60" i="2" s="1"/>
  <c r="AF69" i="2"/>
  <c r="AG69" i="2" s="1"/>
  <c r="Q59" i="2"/>
  <c r="R59" i="2" s="1"/>
  <c r="O59" i="2"/>
  <c r="T62" i="2"/>
  <c r="U62" i="2" s="1"/>
  <c r="T67" i="2"/>
  <c r="U67" i="2" s="1"/>
  <c r="Z91" i="2"/>
  <c r="AA91" i="2" s="1"/>
  <c r="Z95" i="2"/>
  <c r="X95" i="2"/>
  <c r="W14" i="2"/>
  <c r="X14" i="2" s="1"/>
  <c r="U94" i="2"/>
  <c r="AC97" i="2"/>
  <c r="AD97" i="2" s="1"/>
  <c r="AC101" i="2"/>
  <c r="AD101" i="2" s="1"/>
  <c r="AC92" i="2"/>
  <c r="AA92" i="2"/>
  <c r="AC90" i="2"/>
  <c r="AD90" i="2" s="1"/>
  <c r="Z12" i="2"/>
  <c r="X61" i="2"/>
  <c r="Z3" i="2"/>
  <c r="W48" i="2"/>
  <c r="W79" i="2"/>
  <c r="W108" i="2" s="1"/>
  <c r="AA100" i="2"/>
  <c r="AC100" i="2"/>
  <c r="AC98" i="2"/>
  <c r="AD98" i="2" s="1"/>
  <c r="U102" i="2" l="1"/>
  <c r="W102" i="2"/>
  <c r="U13" i="2"/>
  <c r="W13" i="2"/>
  <c r="C10" i="15"/>
  <c r="G10" i="15" s="1"/>
  <c r="C11" i="15" s="1"/>
  <c r="G11" i="15" s="1"/>
  <c r="Q24" i="2" s="1"/>
  <c r="R24" i="2" s="1"/>
  <c r="Z128" i="2"/>
  <c r="Q146" i="2"/>
  <c r="W140" i="2"/>
  <c r="W141" i="2" s="1"/>
  <c r="W142" i="2" s="1"/>
  <c r="X72" i="2"/>
  <c r="D15" i="21"/>
  <c r="W15" i="2"/>
  <c r="X15" i="2" s="1"/>
  <c r="Z138" i="2"/>
  <c r="Z144" i="2" s="1"/>
  <c r="Z145" i="2" s="1"/>
  <c r="X66" i="2"/>
  <c r="Z49" i="2"/>
  <c r="Z72" i="2" s="1"/>
  <c r="AC4" i="2"/>
  <c r="Z80" i="2"/>
  <c r="Z109" i="2" s="1"/>
  <c r="AA12" i="2"/>
  <c r="AA20" i="2"/>
  <c r="AA29" i="2"/>
  <c r="W58" i="2"/>
  <c r="X58" i="2" s="1"/>
  <c r="X69" i="2"/>
  <c r="W65" i="2"/>
  <c r="X65" i="2" s="1"/>
  <c r="W64" i="2"/>
  <c r="X64" i="2" s="1"/>
  <c r="W68" i="2"/>
  <c r="X68" i="2" s="1"/>
  <c r="W57" i="2"/>
  <c r="X57" i="2" s="1"/>
  <c r="W56" i="2"/>
  <c r="X56" i="2" s="1"/>
  <c r="W52" i="2"/>
  <c r="W53" i="2" s="1"/>
  <c r="U52" i="2"/>
  <c r="U53" i="2" s="1"/>
  <c r="U54" i="2" s="1"/>
  <c r="W60" i="2"/>
  <c r="X60" i="2" s="1"/>
  <c r="W62" i="2"/>
  <c r="X62" i="2" s="1"/>
  <c r="W67" i="2"/>
  <c r="X67" i="2" s="1"/>
  <c r="AC91" i="2"/>
  <c r="AD91" i="2" s="1"/>
  <c r="Z14" i="2"/>
  <c r="AA14" i="2" s="1"/>
  <c r="AC95" i="2"/>
  <c r="AA95" i="2"/>
  <c r="AF101" i="2"/>
  <c r="AG101" i="2" s="1"/>
  <c r="AC12" i="2"/>
  <c r="AF92" i="2"/>
  <c r="AG92" i="2" s="1"/>
  <c r="AD92" i="2"/>
  <c r="AF97" i="2"/>
  <c r="AG97" i="2" s="1"/>
  <c r="T59" i="2"/>
  <c r="AC3" i="2"/>
  <c r="Z48" i="2"/>
  <c r="Z79" i="2"/>
  <c r="Z108" i="2" s="1"/>
  <c r="AF100" i="2"/>
  <c r="AG100" i="2" s="1"/>
  <c r="AD100" i="2"/>
  <c r="AA61" i="2"/>
  <c r="AF98" i="2"/>
  <c r="AG98" i="2" s="1"/>
  <c r="AF90" i="2"/>
  <c r="AG90" i="2" s="1"/>
  <c r="X94" i="2"/>
  <c r="Z102" i="2" l="1"/>
  <c r="X102" i="2"/>
  <c r="C12" i="15"/>
  <c r="G12" i="15" s="1"/>
  <c r="T24" i="2" s="1"/>
  <c r="U24" i="2" s="1"/>
  <c r="X13" i="2"/>
  <c r="Z13" i="2"/>
  <c r="N24" i="2"/>
  <c r="O24" i="2" s="1"/>
  <c r="AC128" i="2"/>
  <c r="AF128" i="2" s="1"/>
  <c r="Z140" i="2"/>
  <c r="Z141" i="2" s="1"/>
  <c r="Z142" i="2" s="1"/>
  <c r="W148" i="2"/>
  <c r="W146" i="2" s="1"/>
  <c r="AC80" i="2"/>
  <c r="AC109" i="2" s="1"/>
  <c r="AC49" i="2"/>
  <c r="AD69" i="2" s="1"/>
  <c r="AD12" i="2"/>
  <c r="AD29" i="2"/>
  <c r="AD20" i="2"/>
  <c r="AA66" i="2"/>
  <c r="AA72" i="2"/>
  <c r="AA69" i="2"/>
  <c r="D16" i="21"/>
  <c r="Z15" i="2"/>
  <c r="AA15" i="2" s="1"/>
  <c r="AC138" i="2"/>
  <c r="AC144" i="2" s="1"/>
  <c r="AC145" i="2" s="1"/>
  <c r="Z58" i="2"/>
  <c r="AA58" i="2" s="1"/>
  <c r="Z57" i="2"/>
  <c r="AA57" i="2" s="1"/>
  <c r="Z68" i="2"/>
  <c r="AA68" i="2" s="1"/>
  <c r="Z65" i="2"/>
  <c r="AA65" i="2" s="1"/>
  <c r="Z64" i="2"/>
  <c r="AA64" i="2" s="1"/>
  <c r="Z56" i="2"/>
  <c r="AA56" i="2" s="1"/>
  <c r="Z52" i="2"/>
  <c r="Z53" i="2" s="1"/>
  <c r="X52" i="2"/>
  <c r="X53" i="2" s="1"/>
  <c r="X54" i="2" s="1"/>
  <c r="Z60" i="2"/>
  <c r="AA60" i="2" s="1"/>
  <c r="Z62" i="2"/>
  <c r="AA62" i="2" s="1"/>
  <c r="Z67" i="2"/>
  <c r="AA67" i="2" s="1"/>
  <c r="AF91" i="2"/>
  <c r="AG91" i="2" s="1"/>
  <c r="AF95" i="2"/>
  <c r="AG95" i="2" s="1"/>
  <c r="AD95" i="2"/>
  <c r="AC14" i="2"/>
  <c r="AD14" i="2" s="1"/>
  <c r="AA94" i="2"/>
  <c r="AD61" i="2"/>
  <c r="U59" i="2"/>
  <c r="W59" i="2"/>
  <c r="AF3" i="2"/>
  <c r="AC48" i="2"/>
  <c r="AC79" i="2"/>
  <c r="AC108" i="2" s="1"/>
  <c r="AA102" i="2" l="1"/>
  <c r="AC102" i="2"/>
  <c r="C13" i="15"/>
  <c r="G13" i="15" s="1"/>
  <c r="W24" i="2" s="1"/>
  <c r="X24" i="2" s="1"/>
  <c r="AC13" i="2"/>
  <c r="AD13" i="2" s="1"/>
  <c r="AA13" i="2"/>
  <c r="Z148" i="2"/>
  <c r="Z146" i="2" s="1"/>
  <c r="AC140" i="2"/>
  <c r="AC141" i="2" s="1"/>
  <c r="AC142" i="2" s="1"/>
  <c r="AD72" i="2"/>
  <c r="AC72" i="2"/>
  <c r="AD66" i="2"/>
  <c r="AC68" i="2"/>
  <c r="AF68" i="2" s="1"/>
  <c r="AG68" i="2" s="1"/>
  <c r="AC57" i="2"/>
  <c r="AF57" i="2" s="1"/>
  <c r="AG57" i="2" s="1"/>
  <c r="AC58" i="2"/>
  <c r="AF58" i="2" s="1"/>
  <c r="AG58" i="2" s="1"/>
  <c r="AC64" i="2"/>
  <c r="AF64" i="2" s="1"/>
  <c r="AG64" i="2" s="1"/>
  <c r="D17" i="21"/>
  <c r="AC15" i="2"/>
  <c r="AD15" i="2" s="1"/>
  <c r="AC65" i="2"/>
  <c r="AF65" i="2" s="1"/>
  <c r="AG65" i="2" s="1"/>
  <c r="AC56" i="2"/>
  <c r="AF56" i="2" s="1"/>
  <c r="AG56" i="2" s="1"/>
  <c r="AC60" i="2"/>
  <c r="AD60" i="2" s="1"/>
  <c r="AC62" i="2"/>
  <c r="AF62" i="2" s="1"/>
  <c r="AG62" i="2" s="1"/>
  <c r="AC52" i="2"/>
  <c r="AA52" i="2"/>
  <c r="AA53" i="2" s="1"/>
  <c r="AA54" i="2" s="1"/>
  <c r="AC67" i="2"/>
  <c r="AG61" i="2"/>
  <c r="X59" i="2"/>
  <c r="Z59" i="2"/>
  <c r="AD94" i="2"/>
  <c r="AF48" i="2"/>
  <c r="AF79" i="2"/>
  <c r="AF108" i="2" s="1"/>
  <c r="AD102" i="2" l="1"/>
  <c r="AF102" i="2"/>
  <c r="C14" i="15"/>
  <c r="G14" i="15" s="1"/>
  <c r="Z24" i="2" s="1"/>
  <c r="AA24" i="2" s="1"/>
  <c r="AD52" i="2"/>
  <c r="AD53" i="2" s="1"/>
  <c r="AD54" i="2" s="1"/>
  <c r="AF52" i="2"/>
  <c r="AF53" i="2" s="1"/>
  <c r="AC148" i="2"/>
  <c r="AC146" i="2" s="1"/>
  <c r="AD68" i="2"/>
  <c r="AD58" i="2"/>
  <c r="AD64" i="2"/>
  <c r="AD57" i="2"/>
  <c r="AF60" i="2"/>
  <c r="AG60" i="2" s="1"/>
  <c r="AD65" i="2"/>
  <c r="AD56" i="2"/>
  <c r="AD62" i="2"/>
  <c r="AC53" i="2"/>
  <c r="AF67" i="2"/>
  <c r="AG67" i="2" s="1"/>
  <c r="AD67" i="2"/>
  <c r="AG94" i="2"/>
  <c r="AA59" i="2"/>
  <c r="AC59" i="2"/>
  <c r="AG102" i="2" l="1"/>
  <c r="C15" i="15"/>
  <c r="G15" i="15" s="1"/>
  <c r="C16" i="15" s="1"/>
  <c r="G16" i="15" s="1"/>
  <c r="AG52" i="2"/>
  <c r="AG53" i="2" s="1"/>
  <c r="AG54" i="2" s="1"/>
  <c r="AF59" i="2"/>
  <c r="AD59" i="2"/>
  <c r="AC24" i="2" l="1"/>
  <c r="AD24" i="2" s="1"/>
  <c r="C17" i="15"/>
  <c r="G17" i="15" s="1"/>
  <c r="C18" i="15" s="1"/>
  <c r="G18" i="15" s="1"/>
  <c r="C19" i="15" s="1"/>
  <c r="G19" i="15" s="1"/>
  <c r="C20" i="15" s="1"/>
  <c r="G20" i="15" s="1"/>
  <c r="C21" i="15" s="1"/>
  <c r="G21" i="15" s="1"/>
  <c r="C22" i="15" s="1"/>
  <c r="G22" i="15" s="1"/>
  <c r="C23" i="15" s="1"/>
  <c r="G23" i="15" s="1"/>
  <c r="C24" i="15" s="1"/>
  <c r="G24" i="15" s="1"/>
  <c r="C25" i="15" s="1"/>
  <c r="G25" i="15" s="1"/>
  <c r="C26" i="15" s="1"/>
  <c r="G26" i="15" s="1"/>
  <c r="C27" i="15" s="1"/>
  <c r="G27" i="15" s="1"/>
  <c r="C28" i="15" s="1"/>
  <c r="G28" i="15" s="1"/>
  <c r="C29" i="15" s="1"/>
  <c r="G29" i="15" s="1"/>
  <c r="C30" i="15" s="1"/>
  <c r="G30" i="15" s="1"/>
  <c r="C31" i="15" s="1"/>
  <c r="G31" i="15" s="1"/>
  <c r="AG59" i="2"/>
  <c r="H16" i="2" l="1"/>
  <c r="K16" i="2" l="1"/>
  <c r="F151" i="2" l="1"/>
  <c r="N16" i="2"/>
  <c r="Q16" i="2" l="1"/>
  <c r="F153" i="2"/>
  <c r="AF16" i="2" l="1"/>
  <c r="B23" i="18" l="1"/>
  <c r="C23" i="18" s="1"/>
  <c r="C22" i="18" l="1"/>
  <c r="C24" i="18" s="1"/>
  <c r="B24" i="18"/>
  <c r="T138" i="2" s="1"/>
  <c r="B26" i="18" l="1"/>
  <c r="T10" i="2" s="1"/>
  <c r="U10" i="2" s="1"/>
  <c r="B28" i="18" l="1"/>
  <c r="T72" i="2" s="1"/>
  <c r="W10" i="2"/>
  <c r="X10" i="2" s="1"/>
  <c r="T11" i="2"/>
  <c r="C26" i="18"/>
  <c r="C28" i="18" s="1"/>
  <c r="U72" i="2" s="1"/>
  <c r="W11" i="2" l="1"/>
  <c r="W16" i="2" s="1"/>
  <c r="U11" i="2"/>
  <c r="U16" i="2" s="1"/>
  <c r="Z10" i="2"/>
  <c r="AA10" i="2" s="1"/>
  <c r="T16" i="2"/>
  <c r="Z11" i="2" l="1"/>
  <c r="Z16" i="2" s="1"/>
  <c r="X11" i="2"/>
  <c r="X16" i="2" s="1"/>
  <c r="AC10" i="2"/>
  <c r="AD10" i="2" s="1"/>
  <c r="AC11" i="2" l="1"/>
  <c r="AD11" i="2" s="1"/>
  <c r="AD16" i="2" s="1"/>
  <c r="AA11" i="2"/>
  <c r="AA16" i="2" s="1"/>
  <c r="AC16" i="2" l="1"/>
  <c r="B26" i="16" s="1"/>
  <c r="C26" i="16" l="1"/>
  <c r="B29" i="2" l="1"/>
  <c r="C29" i="2" s="1"/>
  <c r="C34" i="2" s="1"/>
  <c r="C36" i="2" s="1"/>
  <c r="C49" i="14"/>
  <c r="D16" i="19" s="1"/>
  <c r="B120" i="2"/>
  <c r="H129" i="2" s="1"/>
  <c r="H151" i="2" s="1"/>
  <c r="B28" i="14"/>
  <c r="C31" i="14"/>
  <c r="B29" i="14"/>
  <c r="B34" i="2" l="1"/>
  <c r="H153" i="2"/>
  <c r="I153" i="2" s="1"/>
  <c r="I151" i="2"/>
  <c r="AC21" i="2"/>
  <c r="E16" i="19"/>
  <c r="D12" i="19"/>
  <c r="D17" i="19"/>
  <c r="W129" i="2"/>
  <c r="AF129" i="2"/>
  <c r="AC129" i="2"/>
  <c r="D14" i="19"/>
  <c r="B158" i="2"/>
  <c r="D8" i="19"/>
  <c r="Z129" i="2"/>
  <c r="D13" i="19"/>
  <c r="B126" i="2"/>
  <c r="E120" i="2" s="1"/>
  <c r="E121" i="2" s="1"/>
  <c r="E160" i="2" s="1"/>
  <c r="K129" i="2"/>
  <c r="D10" i="19"/>
  <c r="D9" i="19"/>
  <c r="N129" i="2"/>
  <c r="B36" i="2"/>
  <c r="D15" i="19"/>
  <c r="T129" i="2"/>
  <c r="B156" i="2"/>
  <c r="Q129" i="2"/>
  <c r="D11" i="19"/>
  <c r="E28" i="2" l="1"/>
  <c r="F28" i="2" s="1"/>
  <c r="B42" i="2"/>
  <c r="C42" i="2" s="1"/>
  <c r="Z21" i="2"/>
  <c r="E15" i="19"/>
  <c r="E13" i="19"/>
  <c r="T21" i="2"/>
  <c r="B30" i="16"/>
  <c r="C30" i="16" s="1"/>
  <c r="E17" i="19"/>
  <c r="Q21" i="2"/>
  <c r="E12" i="19"/>
  <c r="AC63" i="2"/>
  <c r="AC96" i="2"/>
  <c r="AD21" i="2"/>
  <c r="AD22" i="2" s="1"/>
  <c r="AC22" i="2"/>
  <c r="AC26" i="2" s="1"/>
  <c r="E8" i="19"/>
  <c r="E21" i="2"/>
  <c r="N21" i="2"/>
  <c r="E11" i="19"/>
  <c r="W21" i="2"/>
  <c r="E14" i="19"/>
  <c r="E9" i="19"/>
  <c r="H21" i="2"/>
  <c r="K21" i="2"/>
  <c r="E10" i="19"/>
  <c r="K63" i="2" l="1"/>
  <c r="K96" i="2"/>
  <c r="T63" i="2"/>
  <c r="T96" i="2"/>
  <c r="Q63" i="2"/>
  <c r="Q96" i="2"/>
  <c r="E22" i="2"/>
  <c r="E26" i="2" s="1"/>
  <c r="F21" i="2"/>
  <c r="F22" i="2" s="1"/>
  <c r="H22" i="2"/>
  <c r="H26" i="2" s="1"/>
  <c r="I21" i="2"/>
  <c r="I22" i="2" s="1"/>
  <c r="E63" i="2"/>
  <c r="E96" i="2"/>
  <c r="H96" i="2"/>
  <c r="H63" i="2"/>
  <c r="AC103" i="2"/>
  <c r="AC105" i="2" s="1"/>
  <c r="AD96" i="2"/>
  <c r="AD103" i="2" s="1"/>
  <c r="AD105" i="2" s="1"/>
  <c r="Z96" i="2"/>
  <c r="Z63" i="2"/>
  <c r="N22" i="2"/>
  <c r="N26" i="2" s="1"/>
  <c r="O21" i="2"/>
  <c r="O22" i="2" s="1"/>
  <c r="L21" i="2"/>
  <c r="L22" i="2" s="1"/>
  <c r="K22" i="2"/>
  <c r="K26" i="2" s="1"/>
  <c r="Q22" i="2"/>
  <c r="Q26" i="2" s="1"/>
  <c r="R21" i="2"/>
  <c r="R22" i="2" s="1"/>
  <c r="AF96" i="2"/>
  <c r="AF63" i="2"/>
  <c r="AD26" i="2"/>
  <c r="T22" i="2"/>
  <c r="T26" i="2" s="1"/>
  <c r="U21" i="2"/>
  <c r="U22" i="2" s="1"/>
  <c r="W96" i="2"/>
  <c r="W63" i="2"/>
  <c r="W22" i="2"/>
  <c r="W26" i="2" s="1"/>
  <c r="X21" i="2"/>
  <c r="X22" i="2" s="1"/>
  <c r="N96" i="2"/>
  <c r="N63" i="2"/>
  <c r="AD63" i="2"/>
  <c r="AD70" i="2" s="1"/>
  <c r="AD74" i="2" s="1"/>
  <c r="AC70" i="2"/>
  <c r="AC115" i="2"/>
  <c r="Z22" i="2"/>
  <c r="Z26" i="2" s="1"/>
  <c r="AA21" i="2"/>
  <c r="AA22" i="2" s="1"/>
  <c r="AA26" i="2" l="1"/>
  <c r="I96" i="2"/>
  <c r="I103" i="2" s="1"/>
  <c r="I105" i="2" s="1"/>
  <c r="H103" i="2"/>
  <c r="H105" i="2" s="1"/>
  <c r="R63" i="2"/>
  <c r="R70" i="2" s="1"/>
  <c r="R74" i="2" s="1"/>
  <c r="B17" i="18" s="1"/>
  <c r="D17" i="18" s="1"/>
  <c r="F17" i="18" s="1"/>
  <c r="Q115" i="2"/>
  <c r="Q70" i="2"/>
  <c r="W103" i="2"/>
  <c r="W105" i="2" s="1"/>
  <c r="X96" i="2"/>
  <c r="X103" i="2" s="1"/>
  <c r="X105" i="2" s="1"/>
  <c r="F26" i="2"/>
  <c r="L26" i="2"/>
  <c r="N115" i="2"/>
  <c r="O63" i="2"/>
  <c r="O70" i="2" s="1"/>
  <c r="O74" i="2" s="1"/>
  <c r="N70" i="2"/>
  <c r="F96" i="2"/>
  <c r="F103" i="2" s="1"/>
  <c r="F105" i="2" s="1"/>
  <c r="E103" i="2"/>
  <c r="E105" i="2" s="1"/>
  <c r="T103" i="2"/>
  <c r="T105" i="2" s="1"/>
  <c r="U96" i="2"/>
  <c r="U103" i="2" s="1"/>
  <c r="U105" i="2" s="1"/>
  <c r="AD115" i="2"/>
  <c r="AD116" i="2" s="1"/>
  <c r="AC116" i="2"/>
  <c r="AC74" i="2"/>
  <c r="AC110" i="2"/>
  <c r="I63" i="2"/>
  <c r="I70" i="2" s="1"/>
  <c r="I74" i="2" s="1"/>
  <c r="H70" i="2"/>
  <c r="H115" i="2"/>
  <c r="U26" i="2"/>
  <c r="O96" i="2"/>
  <c r="O103" i="2" s="1"/>
  <c r="O105" i="2" s="1"/>
  <c r="N103" i="2"/>
  <c r="N105" i="2" s="1"/>
  <c r="O26" i="2"/>
  <c r="E70" i="2"/>
  <c r="E115" i="2"/>
  <c r="F63" i="2"/>
  <c r="F70" i="2" s="1"/>
  <c r="F74" i="2" s="1"/>
  <c r="T70" i="2"/>
  <c r="U63" i="2"/>
  <c r="U70" i="2" s="1"/>
  <c r="U74" i="2" s="1"/>
  <c r="T115" i="2"/>
  <c r="W70" i="2"/>
  <c r="X63" i="2"/>
  <c r="X70" i="2" s="1"/>
  <c r="X74" i="2" s="1"/>
  <c r="W115" i="2"/>
  <c r="R26" i="2"/>
  <c r="R96" i="2"/>
  <c r="R103" i="2" s="1"/>
  <c r="R105" i="2" s="1"/>
  <c r="Q103" i="2"/>
  <c r="Q105" i="2" s="1"/>
  <c r="AF70" i="2"/>
  <c r="AG63" i="2"/>
  <c r="AG70" i="2" s="1"/>
  <c r="AG74" i="2" s="1"/>
  <c r="AF115" i="2"/>
  <c r="Z70" i="2"/>
  <c r="AA63" i="2"/>
  <c r="AA70" i="2" s="1"/>
  <c r="AA74" i="2" s="1"/>
  <c r="Z115" i="2"/>
  <c r="L96" i="2"/>
  <c r="L103" i="2" s="1"/>
  <c r="L105" i="2" s="1"/>
  <c r="K103" i="2"/>
  <c r="K105" i="2" s="1"/>
  <c r="X26" i="2"/>
  <c r="AG96" i="2"/>
  <c r="AG103" i="2" s="1"/>
  <c r="AG105" i="2" s="1"/>
  <c r="AF103" i="2"/>
  <c r="AF105" i="2" s="1"/>
  <c r="AA96" i="2"/>
  <c r="AA103" i="2" s="1"/>
  <c r="AA105" i="2" s="1"/>
  <c r="Z103" i="2"/>
  <c r="Z105" i="2" s="1"/>
  <c r="I26" i="2"/>
  <c r="K70" i="2"/>
  <c r="K115" i="2"/>
  <c r="L63" i="2"/>
  <c r="L70" i="2" s="1"/>
  <c r="L74" i="2" s="1"/>
  <c r="AC33" i="2" l="1"/>
  <c r="AD33" i="2" s="1"/>
  <c r="E116" i="2"/>
  <c r="F115" i="2"/>
  <c r="F116" i="2" s="1"/>
  <c r="I115" i="2"/>
  <c r="I116" i="2" s="1"/>
  <c r="H116" i="2"/>
  <c r="K74" i="2"/>
  <c r="K110" i="2"/>
  <c r="O115" i="2"/>
  <c r="O116" i="2" s="1"/>
  <c r="N116" i="2"/>
  <c r="T74" i="2"/>
  <c r="T110" i="2"/>
  <c r="Z74" i="2"/>
  <c r="Z110" i="2"/>
  <c r="W116" i="2"/>
  <c r="X115" i="2"/>
  <c r="X116" i="2" s="1"/>
  <c r="E110" i="2"/>
  <c r="E74" i="2"/>
  <c r="H110" i="2"/>
  <c r="H74" i="2"/>
  <c r="Q110" i="2"/>
  <c r="Q74" i="2"/>
  <c r="Q116" i="2"/>
  <c r="R115" i="2"/>
  <c r="R116" i="2" s="1"/>
  <c r="Z116" i="2"/>
  <c r="AA115" i="2"/>
  <c r="AA116" i="2" s="1"/>
  <c r="AF116" i="2"/>
  <c r="AG115" i="2"/>
  <c r="AG116" i="2" s="1"/>
  <c r="AF110" i="2"/>
  <c r="U115" i="2"/>
  <c r="U116" i="2" s="1"/>
  <c r="T116" i="2"/>
  <c r="L115" i="2"/>
  <c r="L116" i="2" s="1"/>
  <c r="K116" i="2"/>
  <c r="W74" i="2"/>
  <c r="W110" i="2"/>
  <c r="AC118" i="2"/>
  <c r="AD110" i="2"/>
  <c r="B17" i="16" s="1"/>
  <c r="D17" i="16" s="1"/>
  <c r="F17" i="16" s="1"/>
  <c r="F19" i="16" s="1"/>
  <c r="N110" i="2"/>
  <c r="N74" i="2"/>
  <c r="N118" i="2" l="1"/>
  <c r="O110" i="2"/>
  <c r="B22" i="16"/>
  <c r="B23" i="16"/>
  <c r="C23" i="16" s="1"/>
  <c r="U110" i="2"/>
  <c r="T118" i="2"/>
  <c r="W33" i="2"/>
  <c r="X33" i="2" s="1"/>
  <c r="I110" i="2"/>
  <c r="H118" i="2"/>
  <c r="T33" i="2"/>
  <c r="U33" i="2" s="1"/>
  <c r="N33" i="2"/>
  <c r="O33" i="2" s="1"/>
  <c r="K33" i="2"/>
  <c r="L33" i="2" s="1"/>
  <c r="Q33" i="2"/>
  <c r="R33" i="2" s="1"/>
  <c r="AF118" i="2"/>
  <c r="AG110" i="2"/>
  <c r="Z33" i="2"/>
  <c r="AA33" i="2" s="1"/>
  <c r="X110" i="2"/>
  <c r="W118" i="2"/>
  <c r="H33" i="2"/>
  <c r="I33" i="2" s="1"/>
  <c r="E43" i="2"/>
  <c r="F43" i="2" s="1"/>
  <c r="E33" i="2"/>
  <c r="L110" i="2"/>
  <c r="K118" i="2"/>
  <c r="Z118" i="2"/>
  <c r="AA110" i="2"/>
  <c r="AD118" i="2"/>
  <c r="Q118" i="2"/>
  <c r="R110" i="2"/>
  <c r="E118" i="2"/>
  <c r="F110" i="2"/>
  <c r="R118" i="2" l="1"/>
  <c r="L118" i="2"/>
  <c r="U118" i="2"/>
  <c r="F118" i="2"/>
  <c r="E124" i="2"/>
  <c r="E132" i="2"/>
  <c r="E122" i="2"/>
  <c r="E136" i="2"/>
  <c r="X118" i="2"/>
  <c r="AA118" i="2"/>
  <c r="F33" i="2"/>
  <c r="AG118" i="2"/>
  <c r="C22" i="16"/>
  <c r="C24" i="16" s="1"/>
  <c r="C28" i="16" s="1"/>
  <c r="AG72" i="2" s="1"/>
  <c r="B24" i="16"/>
  <c r="I118" i="2"/>
  <c r="O118" i="2"/>
  <c r="B32" i="16" l="1"/>
  <c r="B28" i="16"/>
  <c r="AF72" i="2" s="1"/>
  <c r="AF74" i="2" s="1"/>
  <c r="E126" i="2"/>
  <c r="H120" i="2" s="1"/>
  <c r="H121" i="2" s="1"/>
  <c r="E156" i="2"/>
  <c r="E125" i="2"/>
  <c r="E32" i="2" s="1"/>
  <c r="F32" i="2" s="1"/>
  <c r="E133" i="2"/>
  <c r="E158" i="2" l="1"/>
  <c r="E162" i="2"/>
  <c r="AF33" i="2"/>
  <c r="AG33" i="2" s="1"/>
  <c r="H160" i="2"/>
  <c r="H122" i="2"/>
  <c r="H132" i="2"/>
  <c r="AF138" i="2"/>
  <c r="C32" i="16"/>
  <c r="H124" i="2" l="1"/>
  <c r="E31" i="2"/>
  <c r="H133" i="2" l="1"/>
  <c r="H134" i="2" s="1"/>
  <c r="K130" i="2" s="1"/>
  <c r="H126" i="2"/>
  <c r="K120" i="2" s="1"/>
  <c r="K121" i="2" s="1"/>
  <c r="F31" i="2"/>
  <c r="F34" i="2" s="1"/>
  <c r="F36" i="2" s="1"/>
  <c r="E34" i="2"/>
  <c r="E7" i="2"/>
  <c r="H156" i="2"/>
  <c r="F7" i="2" l="1"/>
  <c r="F8" i="2" s="1"/>
  <c r="F18" i="2" s="1"/>
  <c r="E8" i="2"/>
  <c r="H158" i="2"/>
  <c r="H162" i="2"/>
  <c r="H28" i="2"/>
  <c r="E36" i="2"/>
  <c r="E42" i="2"/>
  <c r="F42" i="2" s="1"/>
  <c r="H43" i="2"/>
  <c r="I43" i="2" s="1"/>
  <c r="K131" i="2"/>
  <c r="K132" i="2" s="1"/>
  <c r="K149" i="2"/>
  <c r="K160" i="2"/>
  <c r="K122" i="2"/>
  <c r="H125" i="2"/>
  <c r="K124" i="2" l="1"/>
  <c r="K133" i="2" s="1"/>
  <c r="I28" i="2"/>
  <c r="H31" i="2"/>
  <c r="E41" i="2"/>
  <c r="F41" i="2" s="1"/>
  <c r="E18" i="2"/>
  <c r="E40" i="2"/>
  <c r="K151" i="2"/>
  <c r="K152" i="2"/>
  <c r="H32" i="2"/>
  <c r="I32" i="2" s="1"/>
  <c r="H136" i="2"/>
  <c r="K156" i="2"/>
  <c r="K126" i="2"/>
  <c r="K125" i="2" l="1"/>
  <c r="K134" i="2"/>
  <c r="N130" i="2" s="1"/>
  <c r="N131" i="2" s="1"/>
  <c r="K136" i="2"/>
  <c r="N149" i="2"/>
  <c r="I31" i="2"/>
  <c r="I34" i="2" s="1"/>
  <c r="I36" i="2" s="1"/>
  <c r="H7" i="2"/>
  <c r="H34" i="2"/>
  <c r="K158" i="2"/>
  <c r="K162" i="2"/>
  <c r="K153" i="2"/>
  <c r="L153" i="2" s="1"/>
  <c r="L151" i="2"/>
  <c r="N120" i="2"/>
  <c r="N121" i="2" s="1"/>
  <c r="H8" i="2" l="1"/>
  <c r="I7" i="2"/>
  <c r="I8" i="2" s="1"/>
  <c r="I18" i="2" s="1"/>
  <c r="N152" i="2"/>
  <c r="N151" i="2"/>
  <c r="H36" i="2"/>
  <c r="K28" i="2"/>
  <c r="H42" i="2"/>
  <c r="I42" i="2" s="1"/>
  <c r="K43" i="2"/>
  <c r="L43" i="2" s="1"/>
  <c r="N160" i="2"/>
  <c r="N132" i="2"/>
  <c r="N122" i="2"/>
  <c r="N124" i="2" s="1"/>
  <c r="K31" i="2"/>
  <c r="L31" i="2" s="1"/>
  <c r="K32" i="2"/>
  <c r="L32" i="2" s="1"/>
  <c r="N133" i="2" l="1"/>
  <c r="N125" i="2" s="1"/>
  <c r="O151" i="2"/>
  <c r="N153" i="2"/>
  <c r="O153" i="2" s="1"/>
  <c r="L28" i="2"/>
  <c r="L34" i="2" s="1"/>
  <c r="L36" i="2" s="1"/>
  <c r="K34" i="2"/>
  <c r="N156" i="2"/>
  <c r="N126" i="2"/>
  <c r="Q120" i="2" s="1"/>
  <c r="H18" i="2"/>
  <c r="H40" i="2"/>
  <c r="H41" i="2"/>
  <c r="I41" i="2" s="1"/>
  <c r="N134" i="2"/>
  <c r="Q130" i="2" s="1"/>
  <c r="K7" i="2"/>
  <c r="N32" i="2" l="1"/>
  <c r="O32" i="2" s="1"/>
  <c r="N136" i="2"/>
  <c r="N162" i="2"/>
  <c r="N158" i="2"/>
  <c r="N31" i="2" s="1"/>
  <c r="O31" i="2" s="1"/>
  <c r="Q131" i="2"/>
  <c r="Q149" i="2"/>
  <c r="Q121" i="2"/>
  <c r="L7" i="2"/>
  <c r="L8" i="2" s="1"/>
  <c r="L18" i="2" s="1"/>
  <c r="K8" i="2"/>
  <c r="K36" i="2"/>
  <c r="N28" i="2"/>
  <c r="K42" i="2"/>
  <c r="L42" i="2" s="1"/>
  <c r="N43" i="2"/>
  <c r="O43" i="2" s="1"/>
  <c r="Q152" i="2" l="1"/>
  <c r="Q151" i="2"/>
  <c r="N7" i="2"/>
  <c r="Q122" i="2"/>
  <c r="Q132" i="2"/>
  <c r="K18" i="2"/>
  <c r="K40" i="2"/>
  <c r="K41" i="2"/>
  <c r="L41" i="2" s="1"/>
  <c r="Q160" i="2"/>
  <c r="O28" i="2"/>
  <c r="O34" i="2" s="1"/>
  <c r="O36" i="2" s="1"/>
  <c r="N34" i="2"/>
  <c r="Q124" i="2" l="1"/>
  <c r="Q28" i="2"/>
  <c r="N36" i="2"/>
  <c r="N42" i="2"/>
  <c r="O42" i="2" s="1"/>
  <c r="Q43" i="2"/>
  <c r="R43" i="2" s="1"/>
  <c r="O7" i="2"/>
  <c r="O8" i="2" s="1"/>
  <c r="O18" i="2" s="1"/>
  <c r="N8" i="2"/>
  <c r="R151" i="2"/>
  <c r="Q153" i="2"/>
  <c r="R153" i="2" s="1"/>
  <c r="Q126" i="2"/>
  <c r="T120" i="2" s="1"/>
  <c r="Q156" i="2"/>
  <c r="T121" i="2" l="1"/>
  <c r="Q162" i="2"/>
  <c r="Q158" i="2"/>
  <c r="Q31" i="2" s="1"/>
  <c r="R28" i="2"/>
  <c r="Q133" i="2"/>
  <c r="Q134" i="2" s="1"/>
  <c r="T130" i="2" s="1"/>
  <c r="T131" i="2" s="1"/>
  <c r="N41" i="2"/>
  <c r="O41" i="2" s="1"/>
  <c r="N40" i="2"/>
  <c r="N18" i="2"/>
  <c r="Q125" i="2" l="1"/>
  <c r="R31" i="2"/>
  <c r="T122" i="2"/>
  <c r="T132" i="2"/>
  <c r="T160" i="2"/>
  <c r="T124" i="2" l="1"/>
  <c r="Q32" i="2"/>
  <c r="Q136" i="2"/>
  <c r="T133" i="2" l="1"/>
  <c r="T134" i="2" s="1"/>
  <c r="R32" i="2"/>
  <c r="R34" i="2" s="1"/>
  <c r="R36" i="2" s="1"/>
  <c r="Q34" i="2"/>
  <c r="Q7" i="2"/>
  <c r="T126" i="2"/>
  <c r="T156" i="2"/>
  <c r="T162" i="2" l="1"/>
  <c r="Q8" i="2"/>
  <c r="R7" i="2"/>
  <c r="R8" i="2" s="1"/>
  <c r="R18" i="2" s="1"/>
  <c r="T28" i="2"/>
  <c r="Q36" i="2"/>
  <c r="Q42" i="2"/>
  <c r="R42" i="2" s="1"/>
  <c r="T43" i="2"/>
  <c r="U43" i="2" s="1"/>
  <c r="W130" i="2"/>
  <c r="T144" i="2"/>
  <c r="T145" i="2" s="1"/>
  <c r="T140" i="2"/>
  <c r="T125" i="2"/>
  <c r="U28" i="2" l="1"/>
  <c r="T136" i="2"/>
  <c r="Q41" i="2"/>
  <c r="R41" i="2" s="1"/>
  <c r="Q18" i="2"/>
  <c r="Q40" i="2"/>
  <c r="W131" i="2"/>
  <c r="W149" i="2"/>
  <c r="T141" i="2"/>
  <c r="T142" i="2" s="1"/>
  <c r="T146" i="2" l="1"/>
  <c r="W151" i="2"/>
  <c r="W152" i="2"/>
  <c r="T148" i="2" l="1"/>
  <c r="X151" i="2"/>
  <c r="W153" i="2"/>
  <c r="X153" i="2" s="1"/>
  <c r="T149" i="2" l="1"/>
  <c r="T151" i="2" s="1"/>
  <c r="U151" i="2" l="1"/>
  <c r="T158" i="2"/>
  <c r="T31" i="2" s="1"/>
  <c r="W120" i="2"/>
  <c r="T152" i="2"/>
  <c r="T153" i="2" s="1"/>
  <c r="U153" i="2" l="1"/>
  <c r="T32" i="2"/>
  <c r="U32" i="2" s="1"/>
  <c r="W121" i="2"/>
  <c r="U31" i="2"/>
  <c r="U34" i="2" s="1"/>
  <c r="U36" i="2" s="1"/>
  <c r="T7" i="2"/>
  <c r="T34" i="2"/>
  <c r="W28" i="2" l="1"/>
  <c r="T36" i="2"/>
  <c r="T42" i="2"/>
  <c r="U42" i="2" s="1"/>
  <c r="W43" i="2"/>
  <c r="X43" i="2" s="1"/>
  <c r="U7" i="2"/>
  <c r="U8" i="2" s="1"/>
  <c r="U18" i="2" s="1"/>
  <c r="T8" i="2"/>
  <c r="W122" i="2"/>
  <c r="W132" i="2"/>
  <c r="W160" i="2"/>
  <c r="W124" i="2" l="1"/>
  <c r="W133" i="2" s="1"/>
  <c r="T18" i="2"/>
  <c r="T40" i="2"/>
  <c r="T41" i="2"/>
  <c r="U41" i="2" s="1"/>
  <c r="W156" i="2"/>
  <c r="W126" i="2"/>
  <c r="Z120" i="2" s="1"/>
  <c r="X28" i="2"/>
  <c r="W125" i="2" l="1"/>
  <c r="W134" i="2"/>
  <c r="Z130" i="2" s="1"/>
  <c r="W32" i="2"/>
  <c r="X32" i="2" s="1"/>
  <c r="W136" i="2"/>
  <c r="Z121" i="2"/>
  <c r="Z160" i="2" s="1"/>
  <c r="Z149" i="2"/>
  <c r="Z131" i="2"/>
  <c r="W158" i="2"/>
  <c r="W31" i="2" s="1"/>
  <c r="W162" i="2"/>
  <c r="Z152" i="2" l="1"/>
  <c r="Z151" i="2"/>
  <c r="X31" i="2"/>
  <c r="X34" i="2" s="1"/>
  <c r="X36" i="2" s="1"/>
  <c r="W7" i="2"/>
  <c r="W34" i="2"/>
  <c r="Z132" i="2"/>
  <c r="Z122" i="2"/>
  <c r="W8" i="2" l="1"/>
  <c r="X7" i="2"/>
  <c r="X8" i="2" s="1"/>
  <c r="X18" i="2" s="1"/>
  <c r="Z28" i="2"/>
  <c r="W36" i="2"/>
  <c r="W42" i="2"/>
  <c r="X42" i="2" s="1"/>
  <c r="Z43" i="2"/>
  <c r="AA43" i="2" s="1"/>
  <c r="AA151" i="2"/>
  <c r="Z153" i="2"/>
  <c r="AA153" i="2" s="1"/>
  <c r="Z124" i="2"/>
  <c r="Z133" i="2" l="1"/>
  <c r="Z134" i="2" s="1"/>
  <c r="AC130" i="2" s="1"/>
  <c r="Z125" i="2"/>
  <c r="Z32" i="2" s="1"/>
  <c r="AA32" i="2" s="1"/>
  <c r="Z126" i="2"/>
  <c r="AC120" i="2" s="1"/>
  <c r="AA28" i="2"/>
  <c r="W41" i="2"/>
  <c r="X41" i="2" s="1"/>
  <c r="W40" i="2"/>
  <c r="W18" i="2"/>
  <c r="Z136" i="2"/>
  <c r="Z156" i="2"/>
  <c r="AC121" i="2" l="1"/>
  <c r="Z162" i="2"/>
  <c r="Z158" i="2"/>
  <c r="Z31" i="2" s="1"/>
  <c r="AC149" i="2"/>
  <c r="AC131" i="2"/>
  <c r="AA31" i="2" l="1"/>
  <c r="AA34" i="2" s="1"/>
  <c r="AA36" i="2" s="1"/>
  <c r="Z7" i="2"/>
  <c r="Z34" i="2"/>
  <c r="AC132" i="2"/>
  <c r="AC122" i="2"/>
  <c r="AC152" i="2"/>
  <c r="AC151" i="2"/>
  <c r="AC160" i="2"/>
  <c r="AC153" i="2" l="1"/>
  <c r="AD153" i="2" s="1"/>
  <c r="AD151" i="2"/>
  <c r="Z36" i="2"/>
  <c r="AC28" i="2"/>
  <c r="Z42" i="2"/>
  <c r="AA42" i="2" s="1"/>
  <c r="AC43" i="2"/>
  <c r="AD43" i="2" s="1"/>
  <c r="AC124" i="2"/>
  <c r="Z8" i="2"/>
  <c r="AA7" i="2"/>
  <c r="AA8" i="2" s="1"/>
  <c r="AA18" i="2" s="1"/>
  <c r="AD28" i="2" l="1"/>
  <c r="Z41" i="2"/>
  <c r="AA41" i="2" s="1"/>
  <c r="Z18" i="2"/>
  <c r="Z40" i="2"/>
  <c r="AC133" i="2"/>
  <c r="AC134" i="2" s="1"/>
  <c r="AF130" i="2" s="1"/>
  <c r="AF131" i="2" s="1"/>
  <c r="AC126" i="2"/>
  <c r="AF120" i="2" s="1"/>
  <c r="AC156" i="2"/>
  <c r="AF121" i="2" l="1"/>
  <c r="AC125" i="2"/>
  <c r="AC162" i="2"/>
  <c r="AC158" i="2"/>
  <c r="AC31" i="2" s="1"/>
  <c r="AD31" i="2" l="1"/>
  <c r="AF122" i="2"/>
  <c r="AF132" i="2"/>
  <c r="AC32" i="2"/>
  <c r="AD32" i="2" s="1"/>
  <c r="AC136" i="2"/>
  <c r="AF160" i="2"/>
  <c r="AF124" i="2" l="1"/>
  <c r="AF133" i="2"/>
  <c r="AF125" i="2" s="1"/>
  <c r="AF136" i="2" s="1"/>
  <c r="AC34" i="2"/>
  <c r="AC7" i="2"/>
  <c r="AF126" i="2"/>
  <c r="AF140" i="2" s="1"/>
  <c r="AF156" i="2"/>
  <c r="AD34" i="2"/>
  <c r="AD36" i="2" s="1"/>
  <c r="AF134" i="2" l="1"/>
  <c r="AF144" i="2" s="1"/>
  <c r="AF145" i="2" s="1"/>
  <c r="AF162" i="2"/>
  <c r="E38" i="14" s="1"/>
  <c r="AF141" i="2"/>
  <c r="AF142" i="2" s="1"/>
  <c r="AF148" i="2" s="1"/>
  <c r="AD7" i="2"/>
  <c r="AD8" i="2" s="1"/>
  <c r="AD18" i="2" s="1"/>
  <c r="AC8" i="2"/>
  <c r="AF28" i="2"/>
  <c r="AC36" i="2"/>
  <c r="AC42" i="2"/>
  <c r="AD42" i="2" s="1"/>
  <c r="AF43" i="2"/>
  <c r="AG43" i="2" s="1"/>
  <c r="AF146" i="2" l="1"/>
  <c r="AF149" i="2" s="1"/>
  <c r="AC18" i="2"/>
  <c r="AC41" i="2"/>
  <c r="AD41" i="2" s="1"/>
  <c r="AC40" i="2"/>
  <c r="AG28" i="2"/>
  <c r="AF152" i="2" l="1"/>
  <c r="AF151" i="2"/>
  <c r="AF153" i="2" l="1"/>
  <c r="AF32" i="2" s="1"/>
  <c r="AG32" i="2" s="1"/>
  <c r="AF31" i="2"/>
  <c r="AG31" i="2" l="1"/>
  <c r="AG34" i="2" s="1"/>
  <c r="AG36" i="2" s="1"/>
  <c r="AF7" i="2"/>
  <c r="AF34" i="2"/>
  <c r="AG7" i="2" l="1"/>
  <c r="AG8" i="2" s="1"/>
  <c r="AG18" i="2" s="1"/>
  <c r="AF157" i="2"/>
  <c r="AF158" i="2" s="1"/>
  <c r="B161" i="2" s="1"/>
  <c r="E37" i="14" s="1"/>
  <c r="AF8" i="2"/>
  <c r="AF42" i="2"/>
  <c r="AG42" i="2" s="1"/>
  <c r="AF36" i="2"/>
  <c r="AF18" i="2" l="1"/>
  <c r="AF40" i="2"/>
  <c r="AF41" i="2"/>
  <c r="AG41" i="2" s="1"/>
</calcChain>
</file>

<file path=xl/sharedStrings.xml><?xml version="1.0" encoding="utf-8"?>
<sst xmlns="http://schemas.openxmlformats.org/spreadsheetml/2006/main" count="546" uniqueCount="329">
  <si>
    <t>Total</t>
  </si>
  <si>
    <t>Loan/acre</t>
  </si>
  <si>
    <t>Year</t>
  </si>
  <si>
    <t>Leaf</t>
  </si>
  <si>
    <t>Development Cost</t>
  </si>
  <si>
    <t>Interest Expense</t>
  </si>
  <si>
    <t>N/A</t>
  </si>
  <si>
    <t>Est Value</t>
  </si>
  <si>
    <t>LTV</t>
  </si>
  <si>
    <t xml:space="preserve">N/A </t>
  </si>
  <si>
    <t>Max Loan Balance</t>
  </si>
  <si>
    <t>2019 (open land)</t>
  </si>
  <si>
    <t>2019 (1st leaf)</t>
  </si>
  <si>
    <t>2020 (2nd leaf)</t>
  </si>
  <si>
    <t>2021 (3rd leaf)</t>
  </si>
  <si>
    <t>2022 (4th leaf)</t>
  </si>
  <si>
    <t>Est Value/Acre</t>
  </si>
  <si>
    <t>Farming Cost (G&amp;A not incl)</t>
  </si>
  <si>
    <t>Lamb Ranch - Collateral Analysis (Cost Approach)</t>
  </si>
  <si>
    <t>Roberts Island</t>
  </si>
  <si>
    <t>Total Costs</t>
  </si>
  <si>
    <t>Equity</t>
  </si>
  <si>
    <t>Development Costs</t>
  </si>
  <si>
    <t>Acquisition Fee</t>
  </si>
  <si>
    <t>Investor Profit Sharing</t>
  </si>
  <si>
    <t>Net Acres</t>
  </si>
  <si>
    <t xml:space="preserve">Year </t>
  </si>
  <si>
    <t>Yield</t>
  </si>
  <si>
    <t xml:space="preserve">Price per lb. </t>
  </si>
  <si>
    <t>Land Cost</t>
  </si>
  <si>
    <t>Net Income Pre DS</t>
  </si>
  <si>
    <t>Principal Expense</t>
  </si>
  <si>
    <t>Total Debt Service</t>
  </si>
  <si>
    <t>Net Cash Flow After DS</t>
  </si>
  <si>
    <t>Investor Preferred (6%)</t>
  </si>
  <si>
    <t>Net Cash Flow Split</t>
  </si>
  <si>
    <t>Cash Flow Investor Return</t>
  </si>
  <si>
    <t>Total Investor Return</t>
  </si>
  <si>
    <t>Investor Net CF (ex sale)</t>
  </si>
  <si>
    <t>Investor ROE</t>
  </si>
  <si>
    <t>Investor IRR</t>
  </si>
  <si>
    <t>New (Retired) Debt</t>
  </si>
  <si>
    <t>Cumulative Debt</t>
  </si>
  <si>
    <t>LTC</t>
  </si>
  <si>
    <t>Excess Borrowing Capacity</t>
  </si>
  <si>
    <t>Per Ac.</t>
  </si>
  <si>
    <t xml:space="preserve">Dynamic Capitalization </t>
  </si>
  <si>
    <t>Prior Year Revenue</t>
  </si>
  <si>
    <t>Development Contingency</t>
  </si>
  <si>
    <t>Sale Proceeds + Equity Recap</t>
  </si>
  <si>
    <t>Sponsor Profit Sharing</t>
  </si>
  <si>
    <t>IRR</t>
  </si>
  <si>
    <t>Investor Cash Flow</t>
  </si>
  <si>
    <t>Preferred Dividend</t>
  </si>
  <si>
    <t xml:space="preserve">Investor Profit Split </t>
  </si>
  <si>
    <t>Sponsor Profit Split</t>
  </si>
  <si>
    <t>Sponsor's Sale Proceeds/Equity Recap</t>
  </si>
  <si>
    <t>Sponsor Equity Contribution</t>
  </si>
  <si>
    <t>Net Cash Flow</t>
  </si>
  <si>
    <t>2 year hold</t>
  </si>
  <si>
    <t>Operating Costs</t>
  </si>
  <si>
    <t>Cumulative Operating Cost</t>
  </si>
  <si>
    <t>Sponsor Cash Flow (2yr)</t>
  </si>
  <si>
    <t>Cash</t>
  </si>
  <si>
    <t>Total Assets</t>
  </si>
  <si>
    <t>C5 Farming, LLC</t>
  </si>
  <si>
    <t>Pistachios</t>
  </si>
  <si>
    <t>Almonds</t>
  </si>
  <si>
    <t>Land</t>
  </si>
  <si>
    <t>Closing costs</t>
  </si>
  <si>
    <t>Manual input</t>
  </si>
  <si>
    <t>Calculations</t>
  </si>
  <si>
    <t>Acquisition fee</t>
  </si>
  <si>
    <t>Net farmable acres</t>
  </si>
  <si>
    <t>Sources:</t>
  </si>
  <si>
    <t>Property information:</t>
  </si>
  <si>
    <t>Uses:</t>
  </si>
  <si>
    <t>Initial startup costs</t>
  </si>
  <si>
    <t>Debt</t>
  </si>
  <si>
    <t>$/Ac.</t>
  </si>
  <si>
    <t>Management</t>
  </si>
  <si>
    <t>Proforma data input</t>
  </si>
  <si>
    <t>As of November 1, 2021</t>
  </si>
  <si>
    <t>Loan ammortization Schedule</t>
  </si>
  <si>
    <t>Periods (Yrs.)</t>
  </si>
  <si>
    <t>Payment date</t>
  </si>
  <si>
    <t>Beginning Balance</t>
  </si>
  <si>
    <t>Scheduled Payment</t>
  </si>
  <si>
    <t>Principal</t>
  </si>
  <si>
    <t>Interest</t>
  </si>
  <si>
    <t>Ending Balance</t>
  </si>
  <si>
    <t>Cumulative Interest</t>
  </si>
  <si>
    <t>Loan fees</t>
  </si>
  <si>
    <t>Assets</t>
  </si>
  <si>
    <t>Startup Costs</t>
  </si>
  <si>
    <t xml:space="preserve">  Total Current Assets</t>
  </si>
  <si>
    <t xml:space="preserve">  Total Current Liabilities</t>
  </si>
  <si>
    <t xml:space="preserve">  Total Liabilities</t>
  </si>
  <si>
    <t>Members' equity</t>
  </si>
  <si>
    <t xml:space="preserve">  Total members' equity</t>
  </si>
  <si>
    <t>Total liabilities and members' equity</t>
  </si>
  <si>
    <t>Long-term debt, less current maturities</t>
  </si>
  <si>
    <t xml:space="preserve">  Property and equipment, net of 
   accumulated depreciation</t>
  </si>
  <si>
    <t>Current maturities of long term debt</t>
  </si>
  <si>
    <t>Net income (loss)</t>
  </si>
  <si>
    <t>Revenue</t>
  </si>
  <si>
    <t>Total revenue</t>
  </si>
  <si>
    <t>Operating expenses</t>
  </si>
  <si>
    <t>Total operating expenses</t>
  </si>
  <si>
    <t>Revenue data:</t>
  </si>
  <si>
    <t>Almonds:</t>
  </si>
  <si>
    <t>Price</t>
  </si>
  <si>
    <t>Yield per acre</t>
  </si>
  <si>
    <t>Growth rate</t>
  </si>
  <si>
    <t>Pistachios:</t>
  </si>
  <si>
    <t>Yield per acre - 2022</t>
  </si>
  <si>
    <t>Yield per acre - 2023</t>
  </si>
  <si>
    <t>Yield per acre - 2024</t>
  </si>
  <si>
    <t>Yield per acre - 2025 - 2030</t>
  </si>
  <si>
    <t>Interest expense</t>
  </si>
  <si>
    <t>Term</t>
  </si>
  <si>
    <t>Interest rate</t>
  </si>
  <si>
    <t>Depreciation</t>
  </si>
  <si>
    <t>Balance Sheet - proforma</t>
  </si>
  <si>
    <t>Income Statement - proforma</t>
  </si>
  <si>
    <t>Current ratio</t>
  </si>
  <si>
    <t>Working captial</t>
  </si>
  <si>
    <t>Real Estate purchase</t>
  </si>
  <si>
    <t>Return on equity</t>
  </si>
  <si>
    <t>Per/Ac.</t>
  </si>
  <si>
    <t>Depreciation (book)</t>
  </si>
  <si>
    <t>Accumulated depreciation</t>
  </si>
  <si>
    <t>Debt to equity</t>
  </si>
  <si>
    <t>Cost adjustment (CPI/inflation factor)</t>
  </si>
  <si>
    <t>Water</t>
  </si>
  <si>
    <t>3.5' @ 140</t>
  </si>
  <si>
    <t>Diesel/Power for Water</t>
  </si>
  <si>
    <t>Fert - N</t>
  </si>
  <si>
    <t>110#UN-32 = .70, 80#CAN-17 =  .90</t>
  </si>
  <si>
    <t>Fert - P</t>
  </si>
  <si>
    <t>25g 7-25-0</t>
  </si>
  <si>
    <t>Fert - K</t>
  </si>
  <si>
    <t>SOP=90, liquid = 95</t>
  </si>
  <si>
    <t>Fert - other</t>
  </si>
  <si>
    <t>biologicals, minors, foliar</t>
  </si>
  <si>
    <t>Soil - ammendments/cover crop</t>
  </si>
  <si>
    <t>***cover crop seed = 20, plant = 15, shred = 35</t>
  </si>
  <si>
    <t>Spray - Herbicide</t>
  </si>
  <si>
    <t>includes 3 applications</t>
  </si>
  <si>
    <t>Spray - Dormant</t>
  </si>
  <si>
    <t xml:space="preserve">every other year - includes 1/2 application </t>
  </si>
  <si>
    <t>Spray - Mite</t>
  </si>
  <si>
    <t>includes 2 applications</t>
  </si>
  <si>
    <t>Spray - Insecticide</t>
  </si>
  <si>
    <t>includes 1 application</t>
  </si>
  <si>
    <t>Spray - NOW</t>
  </si>
  <si>
    <t>Spray - Ant</t>
  </si>
  <si>
    <t>Spray - Fungicide</t>
  </si>
  <si>
    <t>Acid</t>
  </si>
  <si>
    <t>Line Clean/Chlorine</t>
  </si>
  <si>
    <t>Pollination - Honey Bees</t>
  </si>
  <si>
    <t>2 hives @ $205</t>
  </si>
  <si>
    <t>Labor</t>
  </si>
  <si>
    <t>130 = irrigation, 30 = other</t>
  </si>
  <si>
    <t>Weeding</t>
  </si>
  <si>
    <t>Tractor</t>
  </si>
  <si>
    <t>floating</t>
  </si>
  <si>
    <t>Mulch</t>
  </si>
  <si>
    <t>Chop/Shred/Chipping</t>
  </si>
  <si>
    <t>mummy shred</t>
  </si>
  <si>
    <t>Harvest</t>
  </si>
  <si>
    <t>Hauling</t>
  </si>
  <si>
    <t>$.02 on 2500#</t>
  </si>
  <si>
    <t>Hulling</t>
  </si>
  <si>
    <t>$.05 on 2500#</t>
  </si>
  <si>
    <t>Pole</t>
  </si>
  <si>
    <t>Re-shake (winter)</t>
  </si>
  <si>
    <t>Winter Berm Blow</t>
  </si>
  <si>
    <t>Pruning</t>
  </si>
  <si>
    <t>Tieing</t>
  </si>
  <si>
    <t>$0 for operator &amp; $150 for absentee farmer w/ mngt.</t>
  </si>
  <si>
    <t>Ground prep</t>
  </si>
  <si>
    <t>Seeds &amp; plants</t>
  </si>
  <si>
    <t>Pistachio - cultural costs</t>
  </si>
  <si>
    <t>Almond - cultural Costs</t>
  </si>
  <si>
    <t>Ground Prep</t>
  </si>
  <si>
    <t>Seed/Plants</t>
  </si>
  <si>
    <t>2.75' @ 140</t>
  </si>
  <si>
    <t>140#UN-32 = .70</t>
  </si>
  <si>
    <t>20g 7-25-0</t>
  </si>
  <si>
    <t>SOP=0, liquid = 140</t>
  </si>
  <si>
    <t>includes 2 application</t>
  </si>
  <si>
    <t>130 = irrigation, 40 = other</t>
  </si>
  <si>
    <t xml:space="preserve">Operating expenses </t>
  </si>
  <si>
    <t>Cost data (general):</t>
  </si>
  <si>
    <t>Cost Approach</t>
  </si>
  <si>
    <t>Time Factor</t>
  </si>
  <si>
    <t>Yr 10 Value/ac</t>
  </si>
  <si>
    <t>Unit</t>
  </si>
  <si>
    <t>Total Value</t>
  </si>
  <si>
    <t>Land Value</t>
  </si>
  <si>
    <t>Establishment Cost</t>
  </si>
  <si>
    <t>Comparable Sales</t>
  </si>
  <si>
    <t>Income Approach</t>
  </si>
  <si>
    <t>Stabilized NOI</t>
  </si>
  <si>
    <t>Cap Rate</t>
  </si>
  <si>
    <t>Valuation Analysis</t>
  </si>
  <si>
    <t>Sales price</t>
  </si>
  <si>
    <t>Sale proceeds</t>
  </si>
  <si>
    <t>Less: sale commission/costs</t>
  </si>
  <si>
    <t>Inflation adjusted (1= Yes; 2= No)</t>
  </si>
  <si>
    <t>Current Cost/Ac.</t>
  </si>
  <si>
    <t>Appreciation factor Improvements - exit</t>
  </si>
  <si>
    <t xml:space="preserve">Average </t>
  </si>
  <si>
    <t>Initial working capital reserves</t>
  </si>
  <si>
    <t>Equity information:</t>
  </si>
  <si>
    <t>Working capital benchmark for investor returns</t>
  </si>
  <si>
    <t>Working capital benchmark per acre</t>
  </si>
  <si>
    <t>Exit</t>
  </si>
  <si>
    <t>Improvements (Well(s)/Pump(s), Trees, etc.)</t>
  </si>
  <si>
    <t>Appreciation factor land - exit</t>
  </si>
  <si>
    <t>Appreciation factor improvements - sale</t>
  </si>
  <si>
    <t>Appreciation factor land - sale</t>
  </si>
  <si>
    <t>Sale/exit information:</t>
  </si>
  <si>
    <t>Capital rate - sale/exit</t>
  </si>
  <si>
    <t>Hold time - exit</t>
  </si>
  <si>
    <t>EBITDA</t>
  </si>
  <si>
    <t xml:space="preserve">Less: </t>
  </si>
  <si>
    <t>Debt paydowns</t>
  </si>
  <si>
    <t>Capital raise - sponsor</t>
  </si>
  <si>
    <t>Capital raise - investor</t>
  </si>
  <si>
    <t>Intitial captial raise</t>
  </si>
  <si>
    <t>Investor distributions</t>
  </si>
  <si>
    <t>Sponsor distributions</t>
  </si>
  <si>
    <t>Capital contributions</t>
  </si>
  <si>
    <t xml:space="preserve">Investor annual preferred return </t>
  </si>
  <si>
    <t>Total debt service</t>
  </si>
  <si>
    <t>Sale year (post harvest; use 1-9)</t>
  </si>
  <si>
    <t>Capital distributions:</t>
  </si>
  <si>
    <t>Investor profit share percentage</t>
  </si>
  <si>
    <t>Total investor return (preferred + profit share)</t>
  </si>
  <si>
    <t>Preferred rate of return</t>
  </si>
  <si>
    <t>Total gross acres</t>
  </si>
  <si>
    <t>Gross acres - almonds</t>
  </si>
  <si>
    <t>Gross acres - pistachios</t>
  </si>
  <si>
    <t>Sales acres gross - Almonds</t>
  </si>
  <si>
    <t>Sales acres net - Almonds</t>
  </si>
  <si>
    <t>Net farmable - almonds acres</t>
  </si>
  <si>
    <t>Net farmable - pistachio acres</t>
  </si>
  <si>
    <t>Accounting*</t>
  </si>
  <si>
    <t>Assessments*</t>
  </si>
  <si>
    <t>Bookkeeping*</t>
  </si>
  <si>
    <t>Crop insurance**</t>
  </si>
  <si>
    <t>Cultural costs**</t>
  </si>
  <si>
    <t>Dues**</t>
  </si>
  <si>
    <t>Legal*</t>
  </si>
  <si>
    <t>Liability insurance*</t>
  </si>
  <si>
    <t>Property taxes*</t>
  </si>
  <si>
    <t>Miscellaneous**</t>
  </si>
  <si>
    <t>Trader fee**</t>
  </si>
  <si>
    <t>* - Expenses based on gross farming acres</t>
  </si>
  <si>
    <t>** - Expenses based on net farming acres</t>
  </si>
  <si>
    <t>Loan/Line of credit</t>
  </si>
  <si>
    <t>Loan:</t>
  </si>
  <si>
    <t>Line of credit:</t>
  </si>
  <si>
    <t>Line of Credit</t>
  </si>
  <si>
    <t>Days</t>
  </si>
  <si>
    <t>Borrowing</t>
  </si>
  <si>
    <t>Amount</t>
  </si>
  <si>
    <t>Days interest calc</t>
  </si>
  <si>
    <t>Line of credit</t>
  </si>
  <si>
    <t>Management*</t>
  </si>
  <si>
    <t>Year utilized (11 in C48 = turn off line)</t>
  </si>
  <si>
    <t>Cultural costs - Almonds**</t>
  </si>
  <si>
    <t>Cultural costs - Pistachio**</t>
  </si>
  <si>
    <t>Management Structure</t>
  </si>
  <si>
    <t>Earn In years (11 in C61 = turn off line)</t>
  </si>
  <si>
    <t>Earn in reduction</t>
  </si>
  <si>
    <t>Period</t>
  </si>
  <si>
    <t>Earn In (Yes=1/No=2)</t>
  </si>
  <si>
    <t>Management fee per acre</t>
  </si>
  <si>
    <t>Inflation adjustment (1=Yes; 2=No)</t>
  </si>
  <si>
    <t>Gross Acres</t>
  </si>
  <si>
    <t>Management Fee</t>
  </si>
  <si>
    <t>Almonds Crop:</t>
  </si>
  <si>
    <t>Pistachio Crop:</t>
  </si>
  <si>
    <t>Net gain (loss)</t>
  </si>
  <si>
    <t>Gain/(loss) on sale</t>
  </si>
  <si>
    <t>Cost/basis</t>
  </si>
  <si>
    <t>Gain (loss) on sale</t>
  </si>
  <si>
    <t>Cash (deficit) in bank upon liquidation</t>
  </si>
  <si>
    <t>Outstanding debt</t>
  </si>
  <si>
    <t>Net proceeds</t>
  </si>
  <si>
    <t>Gross sales price per acre (Bare land value)</t>
  </si>
  <si>
    <t>Depreciable life (0 = turn off depreciation)</t>
  </si>
  <si>
    <t>Cash upon liquidation to investors</t>
  </si>
  <si>
    <t>Total investor cash flows</t>
  </si>
  <si>
    <t>Annual net yield</t>
  </si>
  <si>
    <t>Average yield</t>
  </si>
  <si>
    <t>Class A Preferred return hurdle</t>
  </si>
  <si>
    <t>Class A Preferred return distribution</t>
  </si>
  <si>
    <t>Class A Preferred return account balance</t>
  </si>
  <si>
    <t>Ending Class A preferred equity balance</t>
  </si>
  <si>
    <t>Distributable Cash Flow</t>
  </si>
  <si>
    <t>Managing member profits interest</t>
  </si>
  <si>
    <t>Capital Transaction Proceeds</t>
  </si>
  <si>
    <t>Class A profits interest</t>
  </si>
  <si>
    <t>Class A proceeds distribution</t>
  </si>
  <si>
    <t>Class B profits interest - beginning of period</t>
  </si>
  <si>
    <t>Number of Acres</t>
  </si>
  <si>
    <t>Depreciation/Ac.</t>
  </si>
  <si>
    <t>Accumulated Depreciation</t>
  </si>
  <si>
    <t>Depreciation tracking</t>
  </si>
  <si>
    <t>Class B Preferred return</t>
  </si>
  <si>
    <t>Class B Preferred return hurdle</t>
  </si>
  <si>
    <t>Class B profits interest</t>
  </si>
  <si>
    <t>Class B profits interest - end of period</t>
  </si>
  <si>
    <t>Class B Preferred return account balance</t>
  </si>
  <si>
    <t>Class B Preferred return distribution</t>
  </si>
  <si>
    <t>Class B membership interest - %</t>
  </si>
  <si>
    <t>Class B membership interest</t>
  </si>
  <si>
    <t>Check</t>
  </si>
  <si>
    <t>Capital transaction Class A profit share</t>
  </si>
  <si>
    <t>Capital transaction Class B profit share</t>
  </si>
  <si>
    <t>Capital transaction sponsor carry</t>
  </si>
  <si>
    <t>Class B proceeds distribution</t>
  </si>
  <si>
    <t>2024-2025</t>
  </si>
  <si>
    <t>2026-2031</t>
  </si>
  <si>
    <t>2022-2023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</si>
</sst>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%"/>
  </numFmts>
  <fonts count="31" x14ac:knownFonts="1">
    <font>
      <sz val="10"/>
      <color theme="1"/>
      <name val="Verdana"/>
      <family val="2"/>
      <scheme val="minor"/>
    </font>
    <font>
      <sz val="10"/>
      <color theme="1"/>
      <name val="Verdana"/>
      <family val="2"/>
      <scheme val="minor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sz val="11"/>
      <color theme="1"/>
      <name val="Verdana"/>
      <family val="2"/>
      <scheme val="minor"/>
    </font>
    <font>
      <b/>
      <sz val="10"/>
      <color theme="1"/>
      <name val="Verdana"/>
      <family val="2"/>
      <scheme val="minor"/>
    </font>
    <font>
      <sz val="10"/>
      <name val="Verdana"/>
      <family val="2"/>
      <scheme val="minor"/>
    </font>
    <font>
      <sz val="10"/>
      <color rgb="FF0070C0"/>
      <name val="Verdana"/>
      <family val="2"/>
      <scheme val="minor"/>
    </font>
    <font>
      <b/>
      <i/>
      <sz val="10"/>
      <color theme="1"/>
      <name val="Verdana"/>
      <family val="2"/>
      <scheme val="minor"/>
    </font>
    <font>
      <i/>
      <sz val="10"/>
      <color theme="1"/>
      <name val="Verdana"/>
      <family val="2"/>
      <scheme val="minor"/>
    </font>
    <font>
      <sz val="10"/>
      <color rgb="FF0000FF"/>
      <name val="Verdana"/>
      <family val="2"/>
      <scheme val="minor"/>
    </font>
    <font>
      <i/>
      <u/>
      <sz val="10"/>
      <color theme="1"/>
      <name val="Verdana"/>
      <family val="2"/>
      <scheme val="minor"/>
    </font>
    <font>
      <b/>
      <u/>
      <sz val="10"/>
      <color theme="1"/>
      <name val="Verdana"/>
      <family val="2"/>
      <scheme val="minor"/>
    </font>
    <font>
      <sz val="12"/>
      <color theme="1"/>
      <name val="Bookman Old Style"/>
      <family val="1"/>
    </font>
    <font>
      <u/>
      <sz val="12"/>
      <color theme="1"/>
      <name val="Bookman Old Style"/>
      <family val="1"/>
    </font>
    <font>
      <sz val="12"/>
      <name val="Bookman Old Style"/>
      <family val="1"/>
    </font>
    <font>
      <sz val="12"/>
      <color rgb="FFFF0000"/>
      <name val="Bookman Old Style"/>
      <family val="1"/>
    </font>
    <font>
      <b/>
      <u/>
      <sz val="12"/>
      <name val="Bookman Old Style"/>
      <family val="1"/>
    </font>
    <font>
      <b/>
      <sz val="12"/>
      <name val="Bookman Old Style"/>
      <family val="1"/>
    </font>
    <font>
      <sz val="8"/>
      <name val="Verdana"/>
      <family val="2"/>
      <scheme val="minor"/>
    </font>
    <font>
      <b/>
      <sz val="12"/>
      <color theme="1"/>
      <name val="Bookman Old Style"/>
      <family val="1"/>
    </font>
    <font>
      <sz val="12"/>
      <color theme="1"/>
      <name val="Verdana"/>
      <family val="2"/>
      <scheme val="minor"/>
    </font>
    <font>
      <u/>
      <sz val="12"/>
      <name val="Bookman Old Style"/>
      <family val="1"/>
    </font>
    <font>
      <b/>
      <sz val="12"/>
      <color theme="1"/>
      <name val="Verdana"/>
      <family val="2"/>
      <scheme val="minor"/>
    </font>
    <font>
      <u/>
      <sz val="12"/>
      <color theme="1"/>
      <name val="Verdana"/>
      <family val="2"/>
      <scheme val="minor"/>
    </font>
    <font>
      <sz val="12"/>
      <name val="Verdana"/>
      <family val="2"/>
      <scheme val="minor"/>
    </font>
    <font>
      <sz val="12"/>
      <color rgb="FF00B050"/>
      <name val="Bookman Old Style"/>
      <family val="1"/>
    </font>
    <font>
      <b/>
      <sz val="12"/>
      <color rgb="FFFF0000"/>
      <name val="Bookman Old Style"/>
      <family val="1"/>
    </font>
    <font>
      <i/>
      <sz val="12"/>
      <color theme="1"/>
      <name val="Bookman Old Style"/>
      <family val="1"/>
    </font>
    <font>
      <i/>
      <sz val="12"/>
      <name val="Bookman Old Style"/>
      <family val="1"/>
    </font>
    <font>
      <sz val="12"/>
      <color rgb="FF00B050"/>
      <name val="Verdana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BADDFC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0" fontId="21" fillId="0" borderId="0"/>
  </cellStyleXfs>
  <cellXfs count="394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6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9" fontId="2" fillId="2" borderId="1" xfId="2" applyFont="1" applyFill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37" fontId="2" fillId="0" borderId="1" xfId="0" applyNumberFormat="1" applyFont="1" applyBorder="1" applyAlignment="1">
      <alignment horizontal="center"/>
    </xf>
    <xf numFmtId="9" fontId="2" fillId="2" borderId="1" xfId="2" applyNumberFormat="1" applyFont="1" applyFill="1" applyBorder="1" applyAlignment="1">
      <alignment horizontal="center"/>
    </xf>
    <xf numFmtId="6" fontId="2" fillId="0" borderId="1" xfId="0" applyNumberFormat="1" applyFont="1" applyFill="1" applyBorder="1" applyAlignment="1">
      <alignment horizontal="center"/>
    </xf>
    <xf numFmtId="6" fontId="0" fillId="0" borderId="0" xfId="0" applyNumberFormat="1"/>
    <xf numFmtId="165" fontId="0" fillId="0" borderId="0" xfId="4" applyNumberFormat="1" applyFont="1"/>
    <xf numFmtId="0" fontId="0" fillId="0" borderId="0" xfId="0" applyFont="1"/>
    <xf numFmtId="0" fontId="0" fillId="0" borderId="0" xfId="0" applyFont="1" applyAlignment="1">
      <alignment horizontal="left"/>
    </xf>
    <xf numFmtId="165" fontId="0" fillId="0" borderId="0" xfId="0" applyNumberFormat="1" applyFont="1"/>
    <xf numFmtId="165" fontId="0" fillId="0" borderId="0" xfId="4" applyNumberFormat="1" applyFont="1" applyBorder="1"/>
    <xf numFmtId="164" fontId="0" fillId="0" borderId="0" xfId="0" applyNumberFormat="1" applyFont="1"/>
    <xf numFmtId="165" fontId="10" fillId="0" borderId="0" xfId="4" applyNumberFormat="1" applyFont="1" applyAlignment="1">
      <alignment horizontal="center"/>
    </xf>
    <xf numFmtId="0" fontId="5" fillId="0" borderId="0" xfId="0" applyFont="1" applyAlignment="1">
      <alignment horizontal="left"/>
    </xf>
    <xf numFmtId="165" fontId="10" fillId="0" borderId="0" xfId="4" applyNumberFormat="1" applyFont="1" applyBorder="1"/>
    <xf numFmtId="165" fontId="6" fillId="0" borderId="0" xfId="4" applyNumberFormat="1" applyFont="1" applyBorder="1"/>
    <xf numFmtId="164" fontId="5" fillId="0" borderId="0" xfId="1" applyNumberFormat="1" applyFont="1"/>
    <xf numFmtId="0" fontId="5" fillId="0" borderId="8" xfId="0" applyFont="1" applyBorder="1" applyAlignment="1">
      <alignment horizontal="center"/>
    </xf>
    <xf numFmtId="166" fontId="5" fillId="0" borderId="9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166" fontId="5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0" fillId="0" borderId="0" xfId="0" applyFont="1" applyFill="1"/>
    <xf numFmtId="1" fontId="5" fillId="0" borderId="0" xfId="0" applyNumberFormat="1" applyFont="1" applyFill="1" applyBorder="1"/>
    <xf numFmtId="165" fontId="6" fillId="0" borderId="0" xfId="4" applyNumberFormat="1" applyFont="1" applyFill="1" applyBorder="1"/>
    <xf numFmtId="0" fontId="0" fillId="4" borderId="0" xfId="0" applyFont="1" applyFill="1"/>
    <xf numFmtId="0" fontId="9" fillId="4" borderId="0" xfId="0" applyFont="1" applyFill="1" applyAlignment="1">
      <alignment horizontal="center"/>
    </xf>
    <xf numFmtId="0" fontId="0" fillId="4" borderId="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165" fontId="10" fillId="4" borderId="0" xfId="4" applyNumberFormat="1" applyFont="1" applyFill="1" applyAlignment="1">
      <alignment horizontal="center"/>
    </xf>
    <xf numFmtId="8" fontId="6" fillId="4" borderId="6" xfId="1" applyNumberFormat="1" applyFont="1" applyFill="1" applyBorder="1" applyAlignment="1">
      <alignment horizontal="center"/>
    </xf>
    <xf numFmtId="164" fontId="5" fillId="4" borderId="0" xfId="1" applyNumberFormat="1" applyFont="1" applyFill="1"/>
    <xf numFmtId="165" fontId="0" fillId="4" borderId="0" xfId="4" applyNumberFormat="1" applyFont="1" applyFill="1"/>
    <xf numFmtId="166" fontId="0" fillId="4" borderId="0" xfId="2" applyNumberFormat="1" applyFont="1" applyFill="1" applyAlignment="1">
      <alignment horizontal="center"/>
    </xf>
    <xf numFmtId="9" fontId="0" fillId="4" borderId="0" xfId="2" applyFont="1" applyFill="1" applyAlignment="1">
      <alignment horizontal="center"/>
    </xf>
    <xf numFmtId="166" fontId="5" fillId="4" borderId="0" xfId="0" applyNumberFormat="1" applyFont="1" applyFill="1" applyBorder="1" applyAlignment="1">
      <alignment horizontal="center"/>
    </xf>
    <xf numFmtId="0" fontId="5" fillId="4" borderId="0" xfId="0" applyFont="1" applyFill="1" applyAlignment="1">
      <alignment horizontal="center"/>
    </xf>
    <xf numFmtId="0" fontId="5" fillId="4" borderId="6" xfId="0" applyFont="1" applyFill="1" applyBorder="1" applyAlignment="1">
      <alignment horizontal="center"/>
    </xf>
    <xf numFmtId="9" fontId="0" fillId="4" borderId="0" xfId="2" applyNumberFormat="1" applyFont="1" applyFill="1"/>
    <xf numFmtId="164" fontId="0" fillId="4" borderId="0" xfId="0" applyNumberFormat="1" applyFont="1" applyFill="1"/>
    <xf numFmtId="165" fontId="10" fillId="4" borderId="0" xfId="4" applyNumberFormat="1" applyFont="1" applyFill="1" applyBorder="1"/>
    <xf numFmtId="165" fontId="6" fillId="4" borderId="0" xfId="4" applyNumberFormat="1" applyFont="1" applyFill="1" applyBorder="1"/>
    <xf numFmtId="165" fontId="0" fillId="4" borderId="0" xfId="4" applyNumberFormat="1" applyFont="1" applyFill="1" applyBorder="1"/>
    <xf numFmtId="0" fontId="5" fillId="0" borderId="5" xfId="0" applyFont="1" applyBorder="1" applyAlignment="1">
      <alignment horizontal="left"/>
    </xf>
    <xf numFmtId="165" fontId="1" fillId="0" borderId="0" xfId="4" applyNumberFormat="1" applyFont="1" applyAlignment="1">
      <alignment horizontal="center"/>
    </xf>
    <xf numFmtId="165" fontId="1" fillId="4" borderId="0" xfId="4" applyNumberFormat="1" applyFont="1" applyFill="1" applyAlignment="1">
      <alignment horizontal="center"/>
    </xf>
    <xf numFmtId="165" fontId="6" fillId="0" borderId="0" xfId="4" applyNumberFormat="1" applyFont="1"/>
    <xf numFmtId="165" fontId="1" fillId="0" borderId="5" xfId="4" applyNumberFormat="1" applyFont="1" applyBorder="1"/>
    <xf numFmtId="165" fontId="1" fillId="4" borderId="5" xfId="4" applyNumberFormat="1" applyFont="1" applyFill="1" applyBorder="1"/>
    <xf numFmtId="165" fontId="1" fillId="0" borderId="0" xfId="4" applyNumberFormat="1" applyFont="1"/>
    <xf numFmtId="165" fontId="1" fillId="4" borderId="0" xfId="4" applyNumberFormat="1" applyFont="1" applyFill="1"/>
    <xf numFmtId="0" fontId="12" fillId="0" borderId="0" xfId="0" applyFont="1" applyAlignment="1">
      <alignment horizontal="left"/>
    </xf>
    <xf numFmtId="165" fontId="6" fillId="4" borderId="0" xfId="4" applyNumberFormat="1" applyFont="1" applyFill="1"/>
    <xf numFmtId="165" fontId="0" fillId="0" borderId="5" xfId="4" applyNumberFormat="1" applyFont="1" applyBorder="1"/>
    <xf numFmtId="165" fontId="0" fillId="4" borderId="5" xfId="4" applyNumberFormat="1" applyFont="1" applyFill="1" applyBorder="1"/>
    <xf numFmtId="165" fontId="0" fillId="0" borderId="0" xfId="0" applyNumberFormat="1"/>
    <xf numFmtId="0" fontId="9" fillId="0" borderId="0" xfId="0" applyFont="1"/>
    <xf numFmtId="166" fontId="0" fillId="0" borderId="0" xfId="0" applyNumberFormat="1" applyFont="1"/>
    <xf numFmtId="0" fontId="8" fillId="0" borderId="0" xfId="0" applyFont="1"/>
    <xf numFmtId="0" fontId="0" fillId="0" borderId="0" xfId="0" applyFont="1" applyBorder="1"/>
    <xf numFmtId="1" fontId="0" fillId="0" borderId="0" xfId="0" applyNumberFormat="1" applyFont="1" applyBorder="1"/>
    <xf numFmtId="165" fontId="0" fillId="4" borderId="0" xfId="4" applyNumberFormat="1" applyFont="1" applyFill="1" applyBorder="1" applyAlignment="1">
      <alignment horizontal="center"/>
    </xf>
    <xf numFmtId="0" fontId="0" fillId="0" borderId="0" xfId="4" applyNumberFormat="1" applyFont="1"/>
    <xf numFmtId="165" fontId="1" fillId="0" borderId="0" xfId="4" applyNumberFormat="1" applyFont="1" applyBorder="1" applyAlignment="1">
      <alignment horizontal="center"/>
    </xf>
    <xf numFmtId="9" fontId="0" fillId="0" borderId="0" xfId="0" applyNumberFormat="1"/>
    <xf numFmtId="9" fontId="0" fillId="0" borderId="0" xfId="2" applyNumberFormat="1" applyFont="1" applyAlignment="1"/>
    <xf numFmtId="9" fontId="6" fillId="0" borderId="0" xfId="0" applyNumberFormat="1" applyFont="1"/>
    <xf numFmtId="0" fontId="13" fillId="0" borderId="0" xfId="0" applyFont="1"/>
    <xf numFmtId="0" fontId="13" fillId="0" borderId="0" xfId="0" applyFont="1" applyFill="1"/>
    <xf numFmtId="0" fontId="13" fillId="0" borderId="0" xfId="0" applyFont="1" applyFill="1" applyAlignment="1">
      <alignment horizontal="center"/>
    </xf>
    <xf numFmtId="0" fontId="13" fillId="0" borderId="0" xfId="0" applyFont="1" applyFill="1" applyBorder="1"/>
    <xf numFmtId="0" fontId="13" fillId="0" borderId="0" xfId="0" applyFont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center"/>
    </xf>
    <xf numFmtId="165" fontId="13" fillId="5" borderId="0" xfId="4" applyNumberFormat="1" applyFont="1" applyFill="1"/>
    <xf numFmtId="165" fontId="13" fillId="0" borderId="0" xfId="4" applyNumberFormat="1" applyFont="1" applyFill="1"/>
    <xf numFmtId="165" fontId="13" fillId="5" borderId="5" xfId="4" applyNumberFormat="1" applyFont="1" applyFill="1" applyBorder="1"/>
    <xf numFmtId="165" fontId="14" fillId="0" borderId="0" xfId="4" applyNumberFormat="1" applyFont="1" applyFill="1" applyAlignment="1">
      <alignment horizontal="center"/>
    </xf>
    <xf numFmtId="0" fontId="13" fillId="0" borderId="0" xfId="0" applyFont="1" applyAlignment="1">
      <alignment wrapText="1"/>
    </xf>
    <xf numFmtId="0" fontId="13" fillId="0" borderId="0" xfId="0" applyFont="1" applyBorder="1" applyAlignment="1">
      <alignment horizontal="center"/>
    </xf>
    <xf numFmtId="165" fontId="13" fillId="5" borderId="6" xfId="4" applyNumberFormat="1" applyFont="1" applyFill="1" applyBorder="1"/>
    <xf numFmtId="0" fontId="13" fillId="0" borderId="0" xfId="0" applyFont="1" applyBorder="1" applyAlignment="1">
      <alignment horizontal="left"/>
    </xf>
    <xf numFmtId="165" fontId="15" fillId="0" borderId="0" xfId="4" applyNumberFormat="1" applyFont="1" applyFill="1" applyBorder="1"/>
    <xf numFmtId="0" fontId="13" fillId="0" borderId="0" xfId="0" applyFont="1" applyBorder="1"/>
    <xf numFmtId="0" fontId="16" fillId="0" borderId="0" xfId="0" applyFont="1" applyBorder="1" applyAlignment="1">
      <alignment horizontal="center"/>
    </xf>
    <xf numFmtId="165" fontId="13" fillId="0" borderId="0" xfId="0" applyNumberFormat="1" applyFont="1" applyBorder="1" applyAlignment="1">
      <alignment horizontal="center"/>
    </xf>
    <xf numFmtId="165" fontId="13" fillId="0" borderId="0" xfId="0" applyNumberFormat="1" applyFont="1" applyFill="1" applyBorder="1"/>
    <xf numFmtId="0" fontId="15" fillId="0" borderId="0" xfId="0" applyFont="1"/>
    <xf numFmtId="0" fontId="15" fillId="6" borderId="0" xfId="0" applyFont="1" applyFill="1"/>
    <xf numFmtId="0" fontId="15" fillId="5" borderId="0" xfId="0" applyFont="1" applyFill="1"/>
    <xf numFmtId="0" fontId="15" fillId="0" borderId="0" xfId="0" applyFont="1" applyBorder="1"/>
    <xf numFmtId="0" fontId="15" fillId="0" borderId="0" xfId="0" applyFont="1" applyFill="1"/>
    <xf numFmtId="0" fontId="15" fillId="0" borderId="0" xfId="0" applyFont="1" applyFill="1" applyAlignment="1">
      <alignment horizontal="center"/>
    </xf>
    <xf numFmtId="0" fontId="15" fillId="0" borderId="0" xfId="0" applyFont="1" applyFill="1" applyBorder="1"/>
    <xf numFmtId="0" fontId="17" fillId="0" borderId="0" xfId="0" applyFont="1" applyFill="1"/>
    <xf numFmtId="1" fontId="15" fillId="6" borderId="0" xfId="0" applyNumberFormat="1" applyFont="1" applyFill="1" applyAlignment="1">
      <alignment horizontal="right"/>
    </xf>
    <xf numFmtId="10" fontId="15" fillId="0" borderId="0" xfId="0" applyNumberFormat="1" applyFont="1" applyFill="1"/>
    <xf numFmtId="165" fontId="15" fillId="6" borderId="0" xfId="4" applyNumberFormat="1" applyFont="1" applyFill="1"/>
    <xf numFmtId="165" fontId="15" fillId="5" borderId="0" xfId="0" applyNumberFormat="1" applyFont="1" applyFill="1"/>
    <xf numFmtId="165" fontId="15" fillId="5" borderId="5" xfId="4" applyNumberFormat="1" applyFont="1" applyFill="1" applyBorder="1"/>
    <xf numFmtId="43" fontId="15" fillId="0" borderId="0" xfId="4" applyFont="1" applyFill="1"/>
    <xf numFmtId="165" fontId="15" fillId="0" borderId="0" xfId="4" applyNumberFormat="1" applyFont="1" applyFill="1"/>
    <xf numFmtId="165" fontId="15" fillId="5" borderId="0" xfId="4" applyNumberFormat="1" applyFont="1" applyFill="1"/>
    <xf numFmtId="9" fontId="15" fillId="0" borderId="0" xfId="0" applyNumberFormat="1" applyFont="1" applyFill="1"/>
    <xf numFmtId="165" fontId="15" fillId="0" borderId="0" xfId="4" applyNumberFormat="1" applyFont="1" applyAlignment="1"/>
    <xf numFmtId="37" fontId="15" fillId="0" borderId="0" xfId="3" applyNumberFormat="1" applyFont="1" applyAlignment="1"/>
    <xf numFmtId="166" fontId="15" fillId="0" borderId="0" xfId="2" applyNumberFormat="1" applyFont="1"/>
    <xf numFmtId="165" fontId="15" fillId="0" borderId="0" xfId="4" applyNumberFormat="1" applyFont="1" applyBorder="1"/>
    <xf numFmtId="165" fontId="15" fillId="0" borderId="0" xfId="4" applyNumberFormat="1" applyFont="1" applyBorder="1" applyAlignment="1">
      <alignment horizontal="center"/>
    </xf>
    <xf numFmtId="165" fontId="15" fillId="0" borderId="0" xfId="4" applyNumberFormat="1" applyFont="1" applyFill="1" applyBorder="1" applyAlignment="1">
      <alignment horizontal="center"/>
    </xf>
    <xf numFmtId="3" fontId="15" fillId="0" borderId="0" xfId="4" applyNumberFormat="1" applyFont="1" applyBorder="1" applyAlignment="1">
      <alignment horizontal="center"/>
    </xf>
    <xf numFmtId="0" fontId="15" fillId="0" borderId="0" xfId="0" applyFont="1" applyFill="1" applyAlignment="1">
      <alignment horizontal="left" indent="1"/>
    </xf>
    <xf numFmtId="0" fontId="13" fillId="0" borderId="0" xfId="0" applyFont="1" applyAlignment="1">
      <alignment horizontal="left" indent="1"/>
    </xf>
    <xf numFmtId="0" fontId="13" fillId="0" borderId="0" xfId="0" applyFont="1" applyBorder="1" applyAlignment="1">
      <alignment horizontal="left" indent="2"/>
    </xf>
    <xf numFmtId="2" fontId="15" fillId="0" borderId="0" xfId="4" applyNumberFormat="1" applyFont="1" applyFill="1" applyAlignment="1">
      <alignment horizontal="center"/>
    </xf>
    <xf numFmtId="165" fontId="15" fillId="5" borderId="0" xfId="4" applyNumberFormat="1" applyFont="1" applyFill="1" applyBorder="1" applyAlignment="1">
      <alignment horizontal="center"/>
    </xf>
    <xf numFmtId="165" fontId="15" fillId="5" borderId="5" xfId="4" applyNumberFormat="1" applyFont="1" applyFill="1" applyBorder="1" applyAlignment="1">
      <alignment horizontal="center"/>
    </xf>
    <xf numFmtId="10" fontId="15" fillId="6" borderId="0" xfId="0" applyNumberFormat="1" applyFont="1" applyFill="1"/>
    <xf numFmtId="9" fontId="15" fillId="5" borderId="0" xfId="2" applyFont="1" applyFill="1" applyBorder="1" applyAlignment="1">
      <alignment horizontal="center"/>
    </xf>
    <xf numFmtId="0" fontId="20" fillId="5" borderId="0" xfId="0" applyFont="1" applyFill="1"/>
    <xf numFmtId="0" fontId="20" fillId="0" borderId="0" xfId="0" applyFont="1"/>
    <xf numFmtId="0" fontId="20" fillId="0" borderId="0" xfId="0" applyFont="1" applyFill="1"/>
    <xf numFmtId="0" fontId="16" fillId="0" borderId="0" xfId="0" applyFont="1" applyFill="1" applyBorder="1" applyAlignment="1">
      <alignment horizontal="center"/>
    </xf>
    <xf numFmtId="10" fontId="15" fillId="5" borderId="0" xfId="2" applyNumberFormat="1" applyFont="1" applyFill="1" applyBorder="1" applyAlignment="1">
      <alignment horizontal="right"/>
    </xf>
    <xf numFmtId="43" fontId="15" fillId="6" borderId="0" xfId="4" applyFont="1" applyFill="1"/>
    <xf numFmtId="9" fontId="15" fillId="6" borderId="0" xfId="4" applyNumberFormat="1" applyFont="1" applyFill="1"/>
    <xf numFmtId="9" fontId="15" fillId="6" borderId="0" xfId="2" applyFont="1" applyFill="1" applyAlignment="1">
      <alignment horizontal="right"/>
    </xf>
    <xf numFmtId="0" fontId="15" fillId="0" borderId="0" xfId="0" applyFont="1" applyAlignment="1">
      <alignment horizontal="center"/>
    </xf>
    <xf numFmtId="0" fontId="21" fillId="0" borderId="0" xfId="5" applyBorder="1"/>
    <xf numFmtId="3" fontId="15" fillId="5" borderId="0" xfId="0" applyNumberFormat="1" applyFont="1" applyFill="1" applyAlignment="1">
      <alignment horizontal="center"/>
    </xf>
    <xf numFmtId="0" fontId="21" fillId="0" borderId="0" xfId="5" applyBorder="1" applyAlignment="1">
      <alignment horizontal="center"/>
    </xf>
    <xf numFmtId="0" fontId="22" fillId="0" borderId="0" xfId="0" applyFont="1" applyFill="1" applyAlignment="1">
      <alignment horizontal="center"/>
    </xf>
    <xf numFmtId="165" fontId="21" fillId="6" borderId="0" xfId="4" applyNumberFormat="1" applyFont="1" applyFill="1" applyBorder="1"/>
    <xf numFmtId="0" fontId="21" fillId="0" borderId="0" xfId="5" applyFill="1" applyBorder="1"/>
    <xf numFmtId="165" fontId="21" fillId="5" borderId="11" xfId="5" applyNumberFormat="1" applyFill="1" applyBorder="1"/>
    <xf numFmtId="165" fontId="21" fillId="5" borderId="11" xfId="4" applyNumberFormat="1" applyFont="1" applyFill="1" applyBorder="1"/>
    <xf numFmtId="0" fontId="22" fillId="0" borderId="0" xfId="0" applyFont="1" applyAlignment="1">
      <alignment horizontal="center"/>
    </xf>
    <xf numFmtId="3" fontId="15" fillId="6" borderId="0" xfId="0" applyNumberFormat="1" applyFont="1" applyFill="1" applyAlignment="1">
      <alignment horizontal="center"/>
    </xf>
    <xf numFmtId="10" fontId="15" fillId="6" borderId="0" xfId="0" applyNumberFormat="1" applyFont="1" applyFill="1" applyAlignment="1">
      <alignment horizontal="center"/>
    </xf>
    <xf numFmtId="9" fontId="15" fillId="6" borderId="0" xfId="0" applyNumberFormat="1" applyFont="1" applyFill="1" applyAlignment="1">
      <alignment horizontal="center"/>
    </xf>
    <xf numFmtId="9" fontId="15" fillId="0" borderId="0" xfId="2" applyFont="1" applyFill="1" applyAlignment="1">
      <alignment horizontal="right"/>
    </xf>
    <xf numFmtId="0" fontId="21" fillId="0" borderId="0" xfId="0" applyFont="1"/>
    <xf numFmtId="0" fontId="24" fillId="0" borderId="0" xfId="0" applyFont="1" applyAlignment="1">
      <alignment horizontal="center"/>
    </xf>
    <xf numFmtId="165" fontId="15" fillId="6" borderId="0" xfId="4" applyNumberFormat="1" applyFont="1" applyFill="1" applyAlignment="1">
      <alignment horizontal="right"/>
    </xf>
    <xf numFmtId="0" fontId="23" fillId="5" borderId="0" xfId="0" applyFont="1" applyFill="1"/>
    <xf numFmtId="0" fontId="13" fillId="0" borderId="5" xfId="0" applyFont="1" applyBorder="1"/>
    <xf numFmtId="165" fontId="13" fillId="0" borderId="5" xfId="4" applyNumberFormat="1" applyFont="1" applyFill="1" applyBorder="1"/>
    <xf numFmtId="9" fontId="13" fillId="0" borderId="5" xfId="2" applyFont="1" applyFill="1" applyBorder="1"/>
    <xf numFmtId="9" fontId="13" fillId="0" borderId="0" xfId="2" applyFont="1" applyFill="1"/>
    <xf numFmtId="0" fontId="13" fillId="0" borderId="6" xfId="0" applyFont="1" applyBorder="1"/>
    <xf numFmtId="165" fontId="22" fillId="0" borderId="0" xfId="4" applyNumberFormat="1" applyFont="1" applyFill="1" applyAlignment="1">
      <alignment horizontal="center"/>
    </xf>
    <xf numFmtId="9" fontId="22" fillId="0" borderId="0" xfId="2" applyFont="1" applyFill="1" applyAlignment="1">
      <alignment horizontal="center"/>
    </xf>
    <xf numFmtId="9" fontId="15" fillId="0" borderId="0" xfId="2" applyFont="1" applyFill="1"/>
    <xf numFmtId="2" fontId="15" fillId="5" borderId="0" xfId="4" applyNumberFormat="1" applyFont="1" applyFill="1" applyAlignment="1">
      <alignment horizontal="center"/>
    </xf>
    <xf numFmtId="1" fontId="13" fillId="5" borderId="0" xfId="4" applyNumberFormat="1" applyFont="1" applyFill="1" applyAlignment="1">
      <alignment horizontal="center"/>
    </xf>
    <xf numFmtId="0" fontId="21" fillId="0" borderId="0" xfId="0" applyFont="1" applyAlignment="1">
      <alignment horizontal="left" indent="2"/>
    </xf>
    <xf numFmtId="0" fontId="13" fillId="0" borderId="6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165" fontId="15" fillId="5" borderId="6" xfId="4" applyNumberFormat="1" applyFont="1" applyFill="1" applyBorder="1"/>
    <xf numFmtId="2" fontId="15" fillId="5" borderId="6" xfId="4" applyNumberFormat="1" applyFont="1" applyFill="1" applyBorder="1" applyAlignment="1">
      <alignment horizontal="center"/>
    </xf>
    <xf numFmtId="1" fontId="13" fillId="5" borderId="6" xfId="4" applyNumberFormat="1" applyFont="1" applyFill="1" applyBorder="1" applyAlignment="1">
      <alignment horizontal="center"/>
    </xf>
    <xf numFmtId="0" fontId="15" fillId="6" borderId="0" xfId="0" applyFont="1" applyFill="1" applyAlignment="1">
      <alignment horizontal="center"/>
    </xf>
    <xf numFmtId="165" fontId="13" fillId="5" borderId="6" xfId="0" applyNumberFormat="1" applyFont="1" applyFill="1" applyBorder="1"/>
    <xf numFmtId="0" fontId="21" fillId="0" borderId="0" xfId="0" applyFont="1" applyBorder="1"/>
    <xf numFmtId="10" fontId="15" fillId="5" borderId="6" xfId="2" applyNumberFormat="1" applyFont="1" applyFill="1" applyBorder="1" applyAlignment="1">
      <alignment horizontal="center"/>
    </xf>
    <xf numFmtId="165" fontId="15" fillId="5" borderId="0" xfId="4" applyNumberFormat="1" applyFont="1" applyFill="1" applyBorder="1"/>
    <xf numFmtId="0" fontId="13" fillId="7" borderId="0" xfId="0" applyFont="1" applyFill="1"/>
    <xf numFmtId="0" fontId="13" fillId="7" borderId="0" xfId="0" applyFont="1" applyFill="1" applyAlignment="1">
      <alignment horizontal="center"/>
    </xf>
    <xf numFmtId="0" fontId="13" fillId="7" borderId="0" xfId="0" applyFont="1" applyFill="1" applyBorder="1" applyAlignment="1">
      <alignment horizontal="center"/>
    </xf>
    <xf numFmtId="165" fontId="13" fillId="7" borderId="0" xfId="4" applyNumberFormat="1" applyFont="1" applyFill="1"/>
    <xf numFmtId="165" fontId="13" fillId="7" borderId="0" xfId="4" applyNumberFormat="1" applyFont="1" applyFill="1" applyBorder="1"/>
    <xf numFmtId="0" fontId="13" fillId="7" borderId="0" xfId="0" applyFont="1" applyFill="1" applyBorder="1" applyAlignment="1">
      <alignment horizontal="right"/>
    </xf>
    <xf numFmtId="165" fontId="15" fillId="7" borderId="0" xfId="4" applyNumberFormat="1" applyFont="1" applyFill="1" applyBorder="1" applyAlignment="1">
      <alignment horizontal="center"/>
    </xf>
    <xf numFmtId="0" fontId="13" fillId="7" borderId="0" xfId="0" applyFont="1" applyFill="1" applyBorder="1"/>
    <xf numFmtId="0" fontId="14" fillId="7" borderId="0" xfId="0" applyFont="1" applyFill="1" applyAlignment="1">
      <alignment horizontal="center"/>
    </xf>
    <xf numFmtId="165" fontId="13" fillId="7" borderId="0" xfId="0" applyNumberFormat="1" applyFont="1" applyFill="1" applyBorder="1"/>
    <xf numFmtId="0" fontId="16" fillId="7" borderId="0" xfId="0" applyFont="1" applyFill="1" applyBorder="1" applyAlignment="1">
      <alignment horizontal="center"/>
    </xf>
    <xf numFmtId="43" fontId="15" fillId="7" borderId="0" xfId="0" applyNumberFormat="1" applyFont="1" applyFill="1" applyBorder="1" applyAlignment="1">
      <alignment horizontal="center"/>
    </xf>
    <xf numFmtId="10" fontId="15" fillId="7" borderId="0" xfId="2" applyNumberFormat="1" applyFont="1" applyFill="1" applyBorder="1" applyAlignment="1">
      <alignment horizontal="right"/>
    </xf>
    <xf numFmtId="9" fontId="15" fillId="7" borderId="0" xfId="2" applyFont="1" applyFill="1" applyBorder="1" applyAlignment="1">
      <alignment horizontal="center"/>
    </xf>
    <xf numFmtId="0" fontId="18" fillId="6" borderId="0" xfId="0" applyFont="1" applyFill="1"/>
    <xf numFmtId="49" fontId="15" fillId="0" borderId="0" xfId="0" applyNumberFormat="1" applyFont="1" applyFill="1" applyAlignment="1">
      <alignment horizontal="center"/>
    </xf>
    <xf numFmtId="0" fontId="18" fillId="0" borderId="0" xfId="0" applyFont="1" applyFill="1"/>
    <xf numFmtId="0" fontId="13" fillId="0" borderId="0" xfId="0" applyFont="1" applyFill="1" applyAlignment="1">
      <alignment horizontal="left" indent="1"/>
    </xf>
    <xf numFmtId="0" fontId="13" fillId="0" borderId="0" xfId="0" applyFont="1" applyFill="1" applyAlignment="1">
      <alignment horizontal="center"/>
    </xf>
    <xf numFmtId="9" fontId="15" fillId="6" borderId="0" xfId="2" applyFont="1" applyFill="1" applyBorder="1"/>
    <xf numFmtId="165" fontId="13" fillId="5" borderId="5" xfId="0" applyNumberFormat="1" applyFont="1" applyFill="1" applyBorder="1"/>
    <xf numFmtId="0" fontId="13" fillId="0" borderId="0" xfId="0" applyFont="1" applyFill="1" applyAlignment="1">
      <alignment horizontal="left" indent="2"/>
    </xf>
    <xf numFmtId="10" fontId="13" fillId="0" borderId="0" xfId="0" applyNumberFormat="1" applyFont="1" applyFill="1"/>
    <xf numFmtId="165" fontId="21" fillId="0" borderId="0" xfId="0" applyNumberFormat="1" applyFont="1"/>
    <xf numFmtId="165" fontId="25" fillId="0" borderId="0" xfId="0" applyNumberFormat="1" applyFont="1"/>
    <xf numFmtId="0" fontId="13" fillId="5" borderId="0" xfId="0" applyFont="1" applyFill="1" applyAlignment="1">
      <alignment horizontal="center"/>
    </xf>
    <xf numFmtId="9" fontId="13" fillId="5" borderId="0" xfId="2" applyFont="1" applyFill="1" applyAlignment="1">
      <alignment horizontal="center"/>
    </xf>
    <xf numFmtId="1" fontId="15" fillId="6" borderId="0" xfId="4" applyNumberFormat="1" applyFont="1" applyFill="1" applyAlignment="1">
      <alignment horizontal="right"/>
    </xf>
    <xf numFmtId="1" fontId="15" fillId="5" borderId="0" xfId="4" applyNumberFormat="1" applyFont="1" applyFill="1" applyAlignment="1">
      <alignment horizontal="right"/>
    </xf>
    <xf numFmtId="1" fontId="15" fillId="6" borderId="0" xfId="4" applyNumberFormat="1" applyFont="1" applyFill="1"/>
    <xf numFmtId="43" fontId="15" fillId="0" borderId="0" xfId="4" applyNumberFormat="1" applyFont="1" applyFill="1" applyBorder="1" applyAlignment="1">
      <alignment horizontal="center"/>
    </xf>
    <xf numFmtId="43" fontId="15" fillId="0" borderId="0" xfId="4" applyNumberFormat="1" applyFont="1" applyBorder="1" applyAlignment="1">
      <alignment horizontal="center"/>
    </xf>
    <xf numFmtId="43" fontId="13" fillId="0" borderId="0" xfId="0" applyNumberFormat="1" applyFont="1" applyFill="1"/>
    <xf numFmtId="43" fontId="13" fillId="0" borderId="0" xfId="4" applyFont="1" applyFill="1"/>
    <xf numFmtId="43" fontId="13" fillId="5" borderId="0" xfId="4" applyFont="1" applyFill="1"/>
    <xf numFmtId="43" fontId="13" fillId="5" borderId="0" xfId="4" applyFont="1" applyFill="1" applyBorder="1"/>
    <xf numFmtId="43" fontId="13" fillId="0" borderId="0" xfId="4" applyFont="1" applyFill="1" applyBorder="1"/>
    <xf numFmtId="165" fontId="15" fillId="6" borderId="0" xfId="4" applyNumberFormat="1" applyFont="1" applyFill="1" applyBorder="1"/>
    <xf numFmtId="10" fontId="15" fillId="6" borderId="0" xfId="2" applyNumberFormat="1" applyFont="1" applyFill="1"/>
    <xf numFmtId="9" fontId="15" fillId="6" borderId="0" xfId="2" applyNumberFormat="1" applyFont="1" applyFill="1"/>
    <xf numFmtId="44" fontId="13" fillId="5" borderId="0" xfId="1" applyFont="1" applyFill="1" applyAlignment="1">
      <alignment horizontal="center"/>
    </xf>
    <xf numFmtId="43" fontId="13" fillId="5" borderId="0" xfId="4" applyFont="1" applyFill="1" applyAlignment="1">
      <alignment horizontal="center"/>
    </xf>
    <xf numFmtId="43" fontId="13" fillId="5" borderId="0" xfId="4" applyNumberFormat="1" applyFont="1" applyFill="1" applyAlignment="1">
      <alignment horizontal="center"/>
    </xf>
    <xf numFmtId="1" fontId="13" fillId="6" borderId="0" xfId="4" applyNumberFormat="1" applyFont="1" applyFill="1" applyAlignment="1">
      <alignment horizontal="center"/>
    </xf>
    <xf numFmtId="14" fontId="13" fillId="6" borderId="0" xfId="0" applyNumberFormat="1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14" fontId="13" fillId="0" borderId="0" xfId="0" applyNumberFormat="1" applyFont="1" applyFill="1" applyAlignment="1">
      <alignment horizontal="center"/>
    </xf>
    <xf numFmtId="1" fontId="13" fillId="0" borderId="0" xfId="4" applyNumberFormat="1" applyFont="1" applyFill="1" applyAlignment="1">
      <alignment horizontal="center"/>
    </xf>
    <xf numFmtId="44" fontId="13" fillId="0" borderId="0" xfId="1" applyFont="1" applyFill="1" applyAlignment="1">
      <alignment horizontal="center"/>
    </xf>
    <xf numFmtId="43" fontId="13" fillId="0" borderId="0" xfId="4" applyFont="1" applyFill="1" applyAlignment="1">
      <alignment horizontal="center"/>
    </xf>
    <xf numFmtId="43" fontId="13" fillId="0" borderId="0" xfId="4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0" fontId="14" fillId="0" borderId="0" xfId="0" applyFont="1" applyFill="1"/>
    <xf numFmtId="43" fontId="21" fillId="5" borderId="0" xfId="4" applyFont="1" applyFill="1"/>
    <xf numFmtId="43" fontId="21" fillId="5" borderId="6" xfId="4" applyFont="1" applyFill="1" applyBorder="1"/>
    <xf numFmtId="43" fontId="21" fillId="5" borderId="0" xfId="0" applyNumberFormat="1" applyFont="1" applyFill="1"/>
    <xf numFmtId="43" fontId="21" fillId="5" borderId="6" xfId="0" applyNumberFormat="1" applyFont="1" applyFill="1" applyBorder="1"/>
    <xf numFmtId="43" fontId="21" fillId="0" borderId="0" xfId="0" applyNumberFormat="1" applyFont="1" applyFill="1"/>
    <xf numFmtId="43" fontId="21" fillId="5" borderId="6" xfId="4" applyNumberFormat="1" applyFont="1" applyFill="1" applyBorder="1"/>
    <xf numFmtId="43" fontId="21" fillId="0" borderId="0" xfId="0" applyNumberFormat="1" applyFont="1"/>
    <xf numFmtId="43" fontId="21" fillId="5" borderId="10" xfId="0" applyNumberFormat="1" applyFont="1" applyFill="1" applyBorder="1"/>
    <xf numFmtId="43" fontId="21" fillId="5" borderId="5" xfId="0" applyNumberFormat="1" applyFont="1" applyFill="1" applyBorder="1"/>
    <xf numFmtId="43" fontId="21" fillId="0" borderId="0" xfId="0" applyNumberFormat="1" applyFont="1" applyFill="1" applyBorder="1"/>
    <xf numFmtId="43" fontId="21" fillId="0" borderId="0" xfId="4" applyFont="1"/>
    <xf numFmtId="43" fontId="21" fillId="5" borderId="10" xfId="4" applyFont="1" applyFill="1" applyBorder="1"/>
    <xf numFmtId="43" fontId="21" fillId="0" borderId="0" xfId="0" applyNumberFormat="1" applyFont="1" applyBorder="1"/>
    <xf numFmtId="0" fontId="13" fillId="6" borderId="0" xfId="0" applyFont="1" applyFill="1" applyAlignment="1">
      <alignment horizontal="center"/>
    </xf>
    <xf numFmtId="0" fontId="15" fillId="6" borderId="0" xfId="0" applyNumberFormat="1" applyFont="1" applyFill="1" applyAlignment="1">
      <alignment horizontal="center"/>
    </xf>
    <xf numFmtId="166" fontId="15" fillId="6" borderId="0" xfId="2" applyNumberFormat="1" applyFont="1" applyFill="1" applyBorder="1"/>
    <xf numFmtId="10" fontId="15" fillId="0" borderId="0" xfId="0" applyNumberFormat="1" applyFont="1"/>
    <xf numFmtId="43" fontId="15" fillId="0" borderId="0" xfId="0" applyNumberFormat="1" applyFont="1"/>
    <xf numFmtId="0" fontId="13" fillId="5" borderId="0" xfId="0" applyFont="1" applyFill="1" applyAlignment="1">
      <alignment horizontal="center"/>
    </xf>
    <xf numFmtId="43" fontId="20" fillId="0" borderId="0" xfId="4" applyFont="1" applyFill="1"/>
    <xf numFmtId="0" fontId="20" fillId="7" borderId="0" xfId="0" applyFont="1" applyFill="1"/>
    <xf numFmtId="0" fontId="20" fillId="0" borderId="0" xfId="0" applyFont="1" applyFill="1" applyBorder="1"/>
    <xf numFmtId="41" fontId="13" fillId="5" borderId="5" xfId="4" applyNumberFormat="1" applyFont="1" applyFill="1" applyBorder="1"/>
    <xf numFmtId="41" fontId="13" fillId="0" borderId="0" xfId="4" applyNumberFormat="1" applyFont="1"/>
    <xf numFmtId="41" fontId="13" fillId="5" borderId="0" xfId="4" applyNumberFormat="1" applyFont="1" applyFill="1"/>
    <xf numFmtId="41" fontId="13" fillId="6" borderId="6" xfId="4" applyNumberFormat="1" applyFont="1" applyFill="1" applyBorder="1"/>
    <xf numFmtId="41" fontId="13" fillId="5" borderId="10" xfId="1" applyNumberFormat="1" applyFont="1" applyFill="1" applyBorder="1"/>
    <xf numFmtId="41" fontId="13" fillId="6" borderId="0" xfId="1" applyNumberFormat="1" applyFont="1" applyFill="1"/>
    <xf numFmtId="41" fontId="13" fillId="0" borderId="5" xfId="4" applyNumberFormat="1" applyFont="1" applyBorder="1"/>
    <xf numFmtId="41" fontId="13" fillId="5" borderId="6" xfId="4" applyNumberFormat="1" applyFont="1" applyFill="1" applyBorder="1"/>
    <xf numFmtId="41" fontId="13" fillId="0" borderId="0" xfId="4" applyNumberFormat="1" applyFont="1" applyFill="1"/>
    <xf numFmtId="41" fontId="13" fillId="6" borderId="0" xfId="4" applyNumberFormat="1" applyFont="1" applyFill="1"/>
    <xf numFmtId="41" fontId="13" fillId="5" borderId="7" xfId="4" applyNumberFormat="1" applyFont="1" applyFill="1" applyBorder="1"/>
    <xf numFmtId="41" fontId="16" fillId="5" borderId="0" xfId="0" applyNumberFormat="1" applyFont="1" applyFill="1" applyBorder="1" applyAlignment="1">
      <alignment horizontal="center"/>
    </xf>
    <xf numFmtId="41" fontId="15" fillId="0" borderId="0" xfId="0" applyNumberFormat="1" applyFont="1" applyFill="1" applyBorder="1" applyAlignment="1">
      <alignment horizontal="center"/>
    </xf>
    <xf numFmtId="41" fontId="15" fillId="5" borderId="0" xfId="0" applyNumberFormat="1" applyFont="1" applyFill="1" applyBorder="1" applyAlignment="1">
      <alignment horizontal="right"/>
    </xf>
    <xf numFmtId="41" fontId="15" fillId="5" borderId="0" xfId="0" applyNumberFormat="1" applyFont="1" applyFill="1" applyBorder="1" applyAlignment="1">
      <alignment horizontal="center"/>
    </xf>
    <xf numFmtId="41" fontId="13" fillId="7" borderId="0" xfId="4" applyNumberFormat="1" applyFont="1" applyFill="1"/>
    <xf numFmtId="41" fontId="13" fillId="7" borderId="0" xfId="4" applyNumberFormat="1" applyFont="1" applyFill="1" applyAlignment="1">
      <alignment horizontal="center"/>
    </xf>
    <xf numFmtId="41" fontId="14" fillId="7" borderId="0" xfId="4" applyNumberFormat="1" applyFont="1" applyFill="1"/>
    <xf numFmtId="41" fontId="14" fillId="7" borderId="0" xfId="4" applyNumberFormat="1" applyFont="1" applyFill="1" applyAlignment="1">
      <alignment horizontal="center"/>
    </xf>
    <xf numFmtId="41" fontId="13" fillId="7" borderId="0" xfId="4" applyNumberFormat="1" applyFont="1" applyFill="1" applyBorder="1"/>
    <xf numFmtId="41" fontId="13" fillId="7" borderId="0" xfId="4" applyNumberFormat="1" applyFont="1" applyFill="1" applyBorder="1" applyAlignment="1">
      <alignment horizontal="center"/>
    </xf>
    <xf numFmtId="41" fontId="13" fillId="5" borderId="0" xfId="1" applyNumberFormat="1" applyFont="1" applyFill="1"/>
    <xf numFmtId="41" fontId="13" fillId="5" borderId="0" xfId="4" applyNumberFormat="1" applyFont="1" applyFill="1" applyBorder="1"/>
    <xf numFmtId="41" fontId="13" fillId="7" borderId="0" xfId="0" applyNumberFormat="1" applyFont="1" applyFill="1"/>
    <xf numFmtId="41" fontId="13" fillId="7" borderId="0" xfId="0" applyNumberFormat="1" applyFont="1" applyFill="1" applyAlignment="1">
      <alignment horizontal="center"/>
    </xf>
    <xf numFmtId="41" fontId="16" fillId="0" borderId="0" xfId="0" applyNumberFormat="1" applyFont="1" applyFill="1" applyBorder="1" applyAlignment="1">
      <alignment horizontal="center"/>
    </xf>
    <xf numFmtId="41" fontId="13" fillId="7" borderId="0" xfId="0" applyNumberFormat="1" applyFont="1" applyFill="1" applyBorder="1" applyAlignment="1">
      <alignment horizontal="center"/>
    </xf>
    <xf numFmtId="41" fontId="13" fillId="7" borderId="0" xfId="0" applyNumberFormat="1" applyFont="1" applyFill="1" applyBorder="1"/>
    <xf numFmtId="41" fontId="15" fillId="7" borderId="0" xfId="0" applyNumberFormat="1" applyFont="1" applyFill="1" applyBorder="1" applyAlignment="1">
      <alignment horizontal="center"/>
    </xf>
    <xf numFmtId="41" fontId="15" fillId="7" borderId="0" xfId="0" applyNumberFormat="1" applyFont="1" applyFill="1" applyBorder="1"/>
    <xf numFmtId="41" fontId="14" fillId="0" borderId="0" xfId="0" applyNumberFormat="1" applyFont="1" applyAlignment="1">
      <alignment horizontal="center"/>
    </xf>
    <xf numFmtId="41" fontId="16" fillId="0" borderId="0" xfId="0" applyNumberFormat="1" applyFont="1" applyFill="1" applyBorder="1" applyAlignment="1">
      <alignment horizontal="right"/>
    </xf>
    <xf numFmtId="41" fontId="13" fillId="7" borderId="0" xfId="0" applyNumberFormat="1" applyFont="1" applyFill="1" applyBorder="1" applyAlignment="1">
      <alignment horizontal="right"/>
    </xf>
    <xf numFmtId="41" fontId="15" fillId="5" borderId="0" xfId="2" applyNumberFormat="1" applyFont="1" applyFill="1" applyBorder="1" applyAlignment="1">
      <alignment horizontal="right"/>
    </xf>
    <xf numFmtId="41" fontId="15" fillId="0" borderId="0" xfId="0" applyNumberFormat="1" applyFont="1" applyFill="1" applyBorder="1" applyAlignment="1">
      <alignment horizontal="right"/>
    </xf>
    <xf numFmtId="41" fontId="15" fillId="7" borderId="0" xfId="0" applyNumberFormat="1" applyFont="1" applyFill="1" applyBorder="1" applyAlignment="1">
      <alignment horizontal="right"/>
    </xf>
    <xf numFmtId="42" fontId="13" fillId="5" borderId="0" xfId="1" applyNumberFormat="1" applyFont="1" applyFill="1"/>
    <xf numFmtId="42" fontId="13" fillId="7" borderId="0" xfId="4" applyNumberFormat="1" applyFont="1" applyFill="1"/>
    <xf numFmtId="42" fontId="13" fillId="7" borderId="0" xfId="4" applyNumberFormat="1" applyFont="1" applyFill="1" applyAlignment="1">
      <alignment horizontal="center"/>
    </xf>
    <xf numFmtId="42" fontId="13" fillId="0" borderId="0" xfId="0" applyNumberFormat="1" applyFont="1" applyFill="1" applyBorder="1"/>
    <xf numFmtId="41" fontId="15" fillId="5" borderId="0" xfId="4" applyNumberFormat="1" applyFont="1" applyFill="1" applyBorder="1" applyAlignment="1">
      <alignment horizontal="center"/>
    </xf>
    <xf numFmtId="41" fontId="15" fillId="7" borderId="0" xfId="4" applyNumberFormat="1" applyFont="1" applyFill="1" applyBorder="1" applyAlignment="1">
      <alignment horizontal="center"/>
    </xf>
    <xf numFmtId="41" fontId="13" fillId="0" borderId="0" xfId="0" applyNumberFormat="1" applyFont="1" applyFill="1" applyBorder="1"/>
    <xf numFmtId="41" fontId="15" fillId="5" borderId="5" xfId="4" applyNumberFormat="1" applyFont="1" applyFill="1" applyBorder="1" applyAlignment="1">
      <alignment horizontal="center"/>
    </xf>
    <xf numFmtId="41" fontId="15" fillId="0" borderId="0" xfId="4" applyNumberFormat="1" applyFont="1" applyFill="1" applyBorder="1" applyAlignment="1">
      <alignment horizontal="center"/>
    </xf>
    <xf numFmtId="41" fontId="15" fillId="5" borderId="6" xfId="4" applyNumberFormat="1" applyFont="1" applyFill="1" applyBorder="1" applyAlignment="1">
      <alignment horizontal="center"/>
    </xf>
    <xf numFmtId="41" fontId="15" fillId="0" borderId="0" xfId="4" applyNumberFormat="1" applyFont="1" applyBorder="1" applyAlignment="1">
      <alignment horizontal="center"/>
    </xf>
    <xf numFmtId="41" fontId="15" fillId="5" borderId="10" xfId="4" applyNumberFormat="1" applyFont="1" applyFill="1" applyBorder="1" applyAlignment="1">
      <alignment horizontal="center"/>
    </xf>
    <xf numFmtId="41" fontId="15" fillId="7" borderId="0" xfId="2" applyNumberFormat="1" applyFont="1" applyFill="1" applyBorder="1" applyAlignment="1">
      <alignment horizontal="center"/>
    </xf>
    <xf numFmtId="41" fontId="20" fillId="5" borderId="0" xfId="0" applyNumberFormat="1" applyFont="1" applyFill="1"/>
    <xf numFmtId="41" fontId="20" fillId="7" borderId="0" xfId="0" applyNumberFormat="1" applyFont="1" applyFill="1"/>
    <xf numFmtId="41" fontId="20" fillId="7" borderId="0" xfId="0" applyNumberFormat="1" applyFont="1" applyFill="1" applyAlignment="1">
      <alignment horizontal="center"/>
    </xf>
    <xf numFmtId="41" fontId="13" fillId="0" borderId="0" xfId="0" applyNumberFormat="1" applyFont="1" applyFill="1"/>
    <xf numFmtId="41" fontId="13" fillId="0" borderId="0" xfId="0" applyNumberFormat="1" applyFont="1" applyFill="1" applyAlignment="1">
      <alignment horizontal="center"/>
    </xf>
    <xf numFmtId="41" fontId="13" fillId="6" borderId="0" xfId="0" applyNumberFormat="1" applyFont="1" applyFill="1" applyAlignment="1">
      <alignment horizontal="center"/>
    </xf>
    <xf numFmtId="41" fontId="13" fillId="5" borderId="0" xfId="0" applyNumberFormat="1" applyFont="1" applyFill="1"/>
    <xf numFmtId="41" fontId="13" fillId="5" borderId="6" xfId="0" applyNumberFormat="1" applyFont="1" applyFill="1" applyBorder="1"/>
    <xf numFmtId="41" fontId="13" fillId="5" borderId="5" xfId="0" applyNumberFormat="1" applyFont="1" applyFill="1" applyBorder="1"/>
    <xf numFmtId="41" fontId="26" fillId="5" borderId="0" xfId="0" applyNumberFormat="1" applyFont="1" applyFill="1"/>
    <xf numFmtId="41" fontId="15" fillId="5" borderId="0" xfId="0" applyNumberFormat="1" applyFont="1" applyFill="1"/>
    <xf numFmtId="41" fontId="15" fillId="5" borderId="0" xfId="4" applyNumberFormat="1" applyFont="1" applyFill="1"/>
    <xf numFmtId="41" fontId="13" fillId="5" borderId="0" xfId="0" applyNumberFormat="1" applyFont="1" applyFill="1" applyBorder="1"/>
    <xf numFmtId="41" fontId="27" fillId="5" borderId="0" xfId="0" applyNumberFormat="1" applyFont="1" applyFill="1"/>
    <xf numFmtId="41" fontId="26" fillId="5" borderId="0" xfId="4" applyNumberFormat="1" applyFont="1" applyFill="1"/>
    <xf numFmtId="41" fontId="13" fillId="0" borderId="0" xfId="0" applyNumberFormat="1" applyFont="1" applyFill="1" applyBorder="1" applyAlignment="1">
      <alignment horizontal="center"/>
    </xf>
    <xf numFmtId="41" fontId="15" fillId="0" borderId="0" xfId="0" applyNumberFormat="1" applyFont="1" applyFill="1" applyBorder="1"/>
    <xf numFmtId="0" fontId="13" fillId="5" borderId="0" xfId="0" applyFont="1" applyFill="1"/>
    <xf numFmtId="165" fontId="13" fillId="5" borderId="0" xfId="0" applyNumberFormat="1" applyFont="1" applyFill="1"/>
    <xf numFmtId="41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 applyBorder="1"/>
    <xf numFmtId="0" fontId="20" fillId="0" borderId="2" xfId="0" applyFont="1" applyFill="1" applyBorder="1"/>
    <xf numFmtId="10" fontId="20" fillId="0" borderId="3" xfId="0" applyNumberFormat="1" applyFont="1" applyFill="1" applyBorder="1"/>
    <xf numFmtId="0" fontId="28" fillId="0" borderId="0" xfId="0" applyFont="1" applyFill="1"/>
    <xf numFmtId="0" fontId="28" fillId="7" borderId="0" xfId="0" applyFont="1" applyFill="1"/>
    <xf numFmtId="166" fontId="28" fillId="0" borderId="0" xfId="2" applyNumberFormat="1" applyFont="1" applyFill="1"/>
    <xf numFmtId="0" fontId="28" fillId="0" borderId="0" xfId="0" applyFont="1" applyFill="1" applyAlignment="1">
      <alignment horizontal="center"/>
    </xf>
    <xf numFmtId="0" fontId="28" fillId="7" borderId="0" xfId="0" applyFont="1" applyFill="1" applyAlignment="1">
      <alignment horizontal="center"/>
    </xf>
    <xf numFmtId="0" fontId="28" fillId="0" borderId="0" xfId="0" applyFont="1" applyFill="1" applyBorder="1"/>
    <xf numFmtId="1" fontId="13" fillId="5" borderId="0" xfId="0" applyNumberFormat="1" applyFont="1" applyFill="1" applyAlignment="1">
      <alignment horizontal="center"/>
    </xf>
    <xf numFmtId="165" fontId="13" fillId="5" borderId="0" xfId="4" applyNumberFormat="1" applyFont="1" applyFill="1" applyAlignment="1">
      <alignment horizontal="center"/>
    </xf>
    <xf numFmtId="43" fontId="28" fillId="5" borderId="0" xfId="4" applyFont="1" applyFill="1"/>
    <xf numFmtId="165" fontId="28" fillId="5" borderId="0" xfId="0" applyNumberFormat="1" applyFont="1" applyFill="1"/>
    <xf numFmtId="41" fontId="29" fillId="5" borderId="0" xfId="4" applyNumberFormat="1" applyFont="1" applyFill="1"/>
    <xf numFmtId="41" fontId="28" fillId="5" borderId="0" xfId="0" applyNumberFormat="1" applyFont="1" applyFill="1"/>
    <xf numFmtId="41" fontId="28" fillId="7" borderId="0" xfId="0" applyNumberFormat="1" applyFont="1" applyFill="1"/>
    <xf numFmtId="41" fontId="28" fillId="7" borderId="0" xfId="0" applyNumberFormat="1" applyFont="1" applyFill="1" applyAlignment="1">
      <alignment horizontal="center"/>
    </xf>
    <xf numFmtId="166" fontId="29" fillId="5" borderId="0" xfId="2" applyNumberFormat="1" applyFont="1" applyFill="1"/>
    <xf numFmtId="41" fontId="15" fillId="5" borderId="0" xfId="4" applyNumberFormat="1" applyFont="1" applyFill="1" applyBorder="1"/>
    <xf numFmtId="9" fontId="13" fillId="0" borderId="0" xfId="2" applyFont="1" applyBorder="1" applyAlignment="1">
      <alignment horizontal="center"/>
    </xf>
    <xf numFmtId="9" fontId="13" fillId="0" borderId="0" xfId="2" applyFont="1" applyFill="1" applyBorder="1"/>
    <xf numFmtId="43" fontId="13" fillId="0" borderId="0" xfId="0" applyNumberFormat="1" applyFont="1"/>
    <xf numFmtId="14" fontId="13" fillId="0" borderId="0" xfId="0" applyNumberFormat="1" applyFont="1"/>
    <xf numFmtId="3" fontId="13" fillId="0" borderId="0" xfId="0" applyNumberFormat="1" applyFont="1"/>
    <xf numFmtId="3" fontId="13" fillId="0" borderId="0" xfId="4" applyNumberFormat="1" applyFont="1" applyFill="1" applyAlignment="1">
      <alignment horizontal="left"/>
    </xf>
    <xf numFmtId="3" fontId="13" fillId="0" borderId="0" xfId="4" applyNumberFormat="1" applyFont="1" applyAlignment="1">
      <alignment horizontal="left"/>
    </xf>
    <xf numFmtId="3" fontId="13" fillId="0" borderId="0" xfId="0" applyNumberFormat="1" applyFont="1" applyAlignment="1">
      <alignment horizontal="left"/>
    </xf>
    <xf numFmtId="3" fontId="13" fillId="0" borderId="0" xfId="0" applyNumberFormat="1" applyFont="1" applyFill="1" applyAlignment="1">
      <alignment horizontal="left"/>
    </xf>
    <xf numFmtId="43" fontId="30" fillId="5" borderId="0" xfId="0" applyNumberFormat="1" applyFont="1" applyFill="1"/>
    <xf numFmtId="165" fontId="15" fillId="6" borderId="0" xfId="4" applyNumberFormat="1" applyFont="1" applyFill="1" applyBorder="1" applyAlignment="1">
      <alignment horizontal="center"/>
    </xf>
    <xf numFmtId="41" fontId="15" fillId="6" borderId="0" xfId="4" applyNumberFormat="1" applyFont="1" applyFill="1" applyBorder="1" applyAlignment="1">
      <alignment horizontal="center"/>
    </xf>
    <xf numFmtId="43" fontId="13" fillId="0" borderId="0" xfId="0" applyNumberFormat="1" applyFont="1" applyFill="1" applyBorder="1"/>
    <xf numFmtId="10" fontId="15" fillId="5" borderId="0" xfId="2" applyNumberFormat="1" applyFont="1" applyFill="1" applyBorder="1" applyAlignment="1">
      <alignment horizontal="center"/>
    </xf>
    <xf numFmtId="164" fontId="13" fillId="5" borderId="0" xfId="1" applyNumberFormat="1" applyFont="1" applyFill="1"/>
    <xf numFmtId="165" fontId="20" fillId="0" borderId="0" xfId="0" applyNumberFormat="1" applyFont="1" applyFill="1" applyBorder="1"/>
    <xf numFmtId="0" fontId="20" fillId="7" borderId="0" xfId="0" applyFont="1" applyFill="1" applyBorder="1"/>
    <xf numFmtId="41" fontId="18" fillId="0" borderId="0" xfId="0" applyNumberFormat="1" applyFont="1" applyFill="1" applyBorder="1"/>
    <xf numFmtId="41" fontId="20" fillId="0" borderId="0" xfId="0" applyNumberFormat="1" applyFont="1" applyFill="1" applyBorder="1"/>
    <xf numFmtId="41" fontId="20" fillId="7" borderId="0" xfId="0" applyNumberFormat="1" applyFont="1" applyFill="1" applyBorder="1"/>
    <xf numFmtId="41" fontId="20" fillId="7" borderId="0" xfId="0" applyNumberFormat="1" applyFont="1" applyFill="1" applyBorder="1" applyAlignment="1">
      <alignment horizontal="center"/>
    </xf>
    <xf numFmtId="165" fontId="13" fillId="0" borderId="0" xfId="4" applyNumberFormat="1" applyFont="1" applyFill="1" applyBorder="1"/>
    <xf numFmtId="165" fontId="20" fillId="0" borderId="0" xfId="4" applyNumberFormat="1" applyFont="1" applyFill="1" applyBorder="1"/>
    <xf numFmtId="44" fontId="15" fillId="0" borderId="0" xfId="4" applyNumberFormat="1" applyFont="1" applyBorder="1" applyAlignment="1">
      <alignment horizontal="center"/>
    </xf>
    <xf numFmtId="44" fontId="16" fillId="0" borderId="0" xfId="4" applyNumberFormat="1" applyFont="1" applyBorder="1" applyAlignment="1">
      <alignment horizontal="center"/>
    </xf>
    <xf numFmtId="165" fontId="15" fillId="0" borderId="0" xfId="0" applyNumberFormat="1" applyFont="1"/>
    <xf numFmtId="42" fontId="15" fillId="0" borderId="0" xfId="2" applyNumberFormat="1" applyFont="1"/>
    <xf numFmtId="42" fontId="15" fillId="0" borderId="0" xfId="0" applyNumberFormat="1" applyFont="1"/>
    <xf numFmtId="166" fontId="15" fillId="0" borderId="0" xfId="0" applyNumberFormat="1" applyFont="1"/>
    <xf numFmtId="9" fontId="15" fillId="5" borderId="0" xfId="0" applyNumberFormat="1" applyFont="1" applyFill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6" xfId="0" applyFont="1" applyBorder="1" applyAlignment="1">
      <alignment horizontal="center" wrapText="1"/>
    </xf>
    <xf numFmtId="0" fontId="13" fillId="5" borderId="0" xfId="0" applyFont="1" applyFill="1" applyAlignment="1">
      <alignment horizontal="center"/>
    </xf>
    <xf numFmtId="0" fontId="13" fillId="5" borderId="6" xfId="0" applyFont="1" applyFill="1" applyBorder="1" applyAlignment="1">
      <alignment horizontal="center"/>
    </xf>
    <xf numFmtId="10" fontId="13" fillId="5" borderId="0" xfId="2" applyNumberFormat="1" applyFont="1" applyFill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6" xfId="0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wrapText="1"/>
    </xf>
    <xf numFmtId="0" fontId="14" fillId="0" borderId="0" xfId="0" applyFont="1" applyAlignment="1">
      <alignment horizontal="center"/>
    </xf>
    <xf numFmtId="0" fontId="14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8" fontId="6" fillId="0" borderId="6" xfId="1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6" fontId="0" fillId="0" borderId="0" xfId="2" applyNumberFormat="1" applyFont="1" applyAlignment="1">
      <alignment horizontal="center"/>
    </xf>
    <xf numFmtId="9" fontId="0" fillId="0" borderId="0" xfId="2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4" fontId="7" fillId="0" borderId="0" xfId="1" applyNumberFormat="1" applyFont="1" applyAlignment="1">
      <alignment vertical="center"/>
    </xf>
    <xf numFmtId="0" fontId="3" fillId="3" borderId="2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6">
    <cellStyle name="Comma" xfId="4" builtinId="3"/>
    <cellStyle name="Currency" xfId="1" builtinId="4"/>
    <cellStyle name="Normal" xfId="0" builtinId="0"/>
    <cellStyle name="Normal 2" xfId="3" xr:uid="{00000000-0005-0000-0000-000003000000}"/>
    <cellStyle name="Normal 3" xfId="5" xr:uid="{E40C5912-DA98-4492-8DEB-FD2EB6F736BE}"/>
    <cellStyle name="Percent" xfId="2" builtinId="5"/>
  </cellStyles>
  <dxfs count="0"/>
  <tableStyles count="0" defaultTableStyle="TableStyleMedium2" defaultPivotStyle="PivotStyleLight16"/>
  <colors>
    <mruColors>
      <color rgb="FFBADDF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Rabobank">
  <a:themeElements>
    <a:clrScheme name="Rabobank">
      <a:dk1>
        <a:srgbClr val="000000"/>
      </a:dk1>
      <a:lt1>
        <a:srgbClr val="FFFFFF"/>
      </a:lt1>
      <a:dk2>
        <a:srgbClr val="000099"/>
      </a:dk2>
      <a:lt2>
        <a:srgbClr val="90D1E3"/>
      </a:lt2>
      <a:accent1>
        <a:srgbClr val="000099"/>
      </a:accent1>
      <a:accent2>
        <a:srgbClr val="FD6400"/>
      </a:accent2>
      <a:accent3>
        <a:srgbClr val="90D1E3"/>
      </a:accent3>
      <a:accent4>
        <a:srgbClr val="AB9D70"/>
      </a:accent4>
      <a:accent5>
        <a:srgbClr val="133359"/>
      </a:accent5>
      <a:accent6>
        <a:srgbClr val="80BA27"/>
      </a:accent6>
      <a:hlink>
        <a:srgbClr val="FF6600"/>
      </a:hlink>
      <a:folHlink>
        <a:srgbClr val="5E6A71"/>
      </a:folHlink>
    </a:clrScheme>
    <a:fontScheme name="Rabobank">
      <a:majorFont>
        <a:latin typeface="Myriad SemiBold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94301-7C45-4C04-B32C-AA3D903ABFF0}">
  <sheetPr>
    <tabColor rgb="FFBADDFC"/>
    <pageSetUpPr fitToPage="1"/>
  </sheetPr>
  <dimension ref="A1:J204"/>
  <sheetViews>
    <sheetView tabSelected="1" topLeftCell="C2" workbookViewId="0">
      <selection activeCell="D2" sqref="D2"/>
    </sheetView>
  </sheetViews>
  <sheetFormatPr defaultColWidth="9" defaultRowHeight="15.5" x14ac:dyDescent="0.35"/>
  <cols>
    <col min="1" max="1" width="50.84375" style="95" bestFit="1" customWidth="1"/>
    <col min="2" max="2" width="13.3828125" style="95" customWidth="1"/>
    <col min="3" max="3" width="57" style="95" customWidth="1"/>
    <col min="4" max="4" width="18.61328125" style="95" customWidth="1"/>
    <col min="5" max="5" width="15.61328125" style="95" bestFit="1" customWidth="1"/>
    <col min="6" max="6" width="15.61328125" style="95" customWidth="1"/>
    <col min="7" max="7" width="14.3828125" style="95" customWidth="1"/>
    <col min="8" max="20" width="7.61328125" style="95" bestFit="1" customWidth="1"/>
    <col min="21" max="16384" width="9" style="95"/>
  </cols>
  <sheetData>
    <row r="1" spans="1:6" x14ac:dyDescent="0.35">
      <c r="A1" s="188" t="s">
        <v>65</v>
      </c>
      <c r="D1" s="96"/>
      <c r="E1" s="95" t="s">
        <v>70</v>
      </c>
    </row>
    <row r="2" spans="1:6" x14ac:dyDescent="0.35">
      <c r="A2" s="190" t="s">
        <v>81</v>
      </c>
      <c r="D2" s="97"/>
      <c r="E2" s="95" t="s">
        <v>71</v>
      </c>
    </row>
    <row r="3" spans="1:6" x14ac:dyDescent="0.35">
      <c r="A3" s="188" t="s">
        <v>82</v>
      </c>
    </row>
    <row r="4" spans="1:6" x14ac:dyDescent="0.35">
      <c r="A4" s="101"/>
      <c r="B4" s="101"/>
      <c r="C4" s="101"/>
      <c r="D4" s="98"/>
      <c r="E4" s="98"/>
      <c r="F4" s="98"/>
    </row>
    <row r="5" spans="1:6" x14ac:dyDescent="0.35">
      <c r="A5" s="99"/>
      <c r="B5" s="99"/>
      <c r="C5" s="99"/>
      <c r="D5" s="101"/>
      <c r="E5" s="98"/>
      <c r="F5" s="98"/>
    </row>
    <row r="6" spans="1:6" x14ac:dyDescent="0.35">
      <c r="A6" s="102" t="s">
        <v>75</v>
      </c>
      <c r="B6" s="99"/>
      <c r="C6" s="99"/>
      <c r="D6" s="99"/>
    </row>
    <row r="7" spans="1:6" x14ac:dyDescent="0.35">
      <c r="A7" s="99" t="s">
        <v>242</v>
      </c>
      <c r="B7" s="99"/>
      <c r="C7" s="201">
        <v>487</v>
      </c>
    </row>
    <row r="8" spans="1:6" x14ac:dyDescent="0.35">
      <c r="A8" s="99" t="s">
        <v>73</v>
      </c>
      <c r="B8" s="99"/>
      <c r="C8" s="201">
        <v>457</v>
      </c>
    </row>
    <row r="9" spans="1:6" x14ac:dyDescent="0.35">
      <c r="A9" s="99" t="s">
        <v>243</v>
      </c>
      <c r="B9" s="99"/>
      <c r="C9" s="202">
        <f>ROUND(($C$11/$C$8)*$C$7,0)</f>
        <v>407</v>
      </c>
    </row>
    <row r="10" spans="1:6" x14ac:dyDescent="0.35">
      <c r="A10" s="99" t="s">
        <v>244</v>
      </c>
      <c r="B10" s="99"/>
      <c r="C10" s="202">
        <f>ROUND(($C$12/$C$8)*$C$7,0)</f>
        <v>80</v>
      </c>
    </row>
    <row r="11" spans="1:6" x14ac:dyDescent="0.35">
      <c r="A11" s="99" t="s">
        <v>247</v>
      </c>
      <c r="B11" s="99"/>
      <c r="C11" s="103">
        <v>382</v>
      </c>
      <c r="E11" s="135"/>
    </row>
    <row r="12" spans="1:6" x14ac:dyDescent="0.35">
      <c r="A12" s="99" t="s">
        <v>248</v>
      </c>
      <c r="B12" s="99"/>
      <c r="C12" s="103">
        <v>75</v>
      </c>
    </row>
    <row r="13" spans="1:6" x14ac:dyDescent="0.35">
      <c r="A13" s="99"/>
      <c r="B13" s="99"/>
      <c r="C13" s="148"/>
    </row>
    <row r="14" spans="1:6" x14ac:dyDescent="0.35">
      <c r="A14" s="102" t="s">
        <v>223</v>
      </c>
      <c r="B14" s="99"/>
      <c r="C14" s="148"/>
    </row>
    <row r="15" spans="1:6" x14ac:dyDescent="0.35">
      <c r="A15" s="99" t="s">
        <v>220</v>
      </c>
      <c r="B15" s="99"/>
      <c r="C15" s="134">
        <v>0.06</v>
      </c>
    </row>
    <row r="16" spans="1:6" x14ac:dyDescent="0.35">
      <c r="A16" s="99" t="s">
        <v>212</v>
      </c>
      <c r="B16" s="99"/>
      <c r="C16" s="134">
        <v>-0.02</v>
      </c>
    </row>
    <row r="17" spans="1:6" x14ac:dyDescent="0.35">
      <c r="A17" s="99" t="s">
        <v>225</v>
      </c>
      <c r="B17" s="99"/>
      <c r="C17" s="151">
        <v>10</v>
      </c>
    </row>
    <row r="18" spans="1:6" x14ac:dyDescent="0.35">
      <c r="A18" s="99" t="s">
        <v>224</v>
      </c>
      <c r="B18" s="99"/>
      <c r="C18" s="134">
        <v>0.05</v>
      </c>
    </row>
    <row r="19" spans="1:6" x14ac:dyDescent="0.35">
      <c r="A19" s="99" t="s">
        <v>237</v>
      </c>
      <c r="B19" s="189"/>
      <c r="C19" s="151">
        <v>6</v>
      </c>
    </row>
    <row r="20" spans="1:6" x14ac:dyDescent="0.35">
      <c r="A20" s="95" t="s">
        <v>245</v>
      </c>
      <c r="B20" s="99"/>
      <c r="C20" s="96">
        <v>120</v>
      </c>
    </row>
    <row r="21" spans="1:6" x14ac:dyDescent="0.35">
      <c r="A21" s="99" t="s">
        <v>246</v>
      </c>
      <c r="B21" s="99"/>
      <c r="C21" s="203">
        <v>116</v>
      </c>
    </row>
    <row r="22" spans="1:6" x14ac:dyDescent="0.35">
      <c r="A22" s="99" t="s">
        <v>293</v>
      </c>
      <c r="B22" s="99"/>
      <c r="C22" s="105">
        <v>20000</v>
      </c>
    </row>
    <row r="23" spans="1:6" x14ac:dyDescent="0.35">
      <c r="A23" s="99" t="s">
        <v>222</v>
      </c>
      <c r="B23" s="99"/>
      <c r="C23" s="134">
        <v>0.06</v>
      </c>
    </row>
    <row r="24" spans="1:6" x14ac:dyDescent="0.35">
      <c r="A24" s="99" t="s">
        <v>221</v>
      </c>
      <c r="B24" s="99"/>
      <c r="C24" s="134">
        <v>-0.02</v>
      </c>
    </row>
    <row r="25" spans="1:6" x14ac:dyDescent="0.35">
      <c r="A25" s="99"/>
      <c r="B25" s="99"/>
      <c r="C25" s="104"/>
    </row>
    <row r="26" spans="1:6" x14ac:dyDescent="0.35">
      <c r="A26" s="102" t="s">
        <v>74</v>
      </c>
      <c r="B26" s="99"/>
      <c r="C26" s="99"/>
    </row>
    <row r="27" spans="1:6" x14ac:dyDescent="0.35">
      <c r="A27" s="99" t="s">
        <v>231</v>
      </c>
      <c r="B27" s="99"/>
      <c r="C27" s="110">
        <f>+SUM(C28:C29)</f>
        <v>10955000</v>
      </c>
      <c r="F27" s="362"/>
    </row>
    <row r="28" spans="1:6" x14ac:dyDescent="0.35">
      <c r="A28" s="99" t="s">
        <v>230</v>
      </c>
      <c r="B28" s="366">
        <f>+C28/$C$27</f>
        <v>0.99041533546325877</v>
      </c>
      <c r="C28" s="105">
        <v>10850000</v>
      </c>
    </row>
    <row r="29" spans="1:6" x14ac:dyDescent="0.35">
      <c r="A29" s="99" t="s">
        <v>229</v>
      </c>
      <c r="B29" s="366">
        <f>+C29/$C$27</f>
        <v>9.5846645367412137E-3</v>
      </c>
      <c r="C29" s="105">
        <f>3*35000</f>
        <v>105000</v>
      </c>
      <c r="E29" s="362"/>
      <c r="F29" s="362"/>
    </row>
    <row r="30" spans="1:6" x14ac:dyDescent="0.35">
      <c r="A30" s="95" t="s">
        <v>78</v>
      </c>
      <c r="C30" s="106">
        <f>+C39-C27</f>
        <v>9553700</v>
      </c>
      <c r="D30" s="244"/>
      <c r="E30" s="363"/>
      <c r="F30" s="362"/>
    </row>
    <row r="31" spans="1:6" x14ac:dyDescent="0.35">
      <c r="A31" s="99"/>
      <c r="B31" s="99"/>
      <c r="C31" s="107">
        <f>+C30+C27</f>
        <v>20508700</v>
      </c>
      <c r="E31" s="364"/>
      <c r="F31" s="362"/>
    </row>
    <row r="32" spans="1:6" x14ac:dyDescent="0.35">
      <c r="A32" s="99"/>
      <c r="B32" s="99"/>
      <c r="C32" s="108"/>
      <c r="F32" s="362"/>
    </row>
    <row r="33" spans="1:7" x14ac:dyDescent="0.35">
      <c r="A33" s="102" t="s">
        <v>76</v>
      </c>
      <c r="B33" s="99"/>
      <c r="C33" s="108"/>
      <c r="E33" s="362"/>
    </row>
    <row r="34" spans="1:7" x14ac:dyDescent="0.35">
      <c r="A34" s="99" t="s">
        <v>127</v>
      </c>
      <c r="B34" s="99"/>
      <c r="C34" s="105">
        <v>17325000</v>
      </c>
      <c r="E34" s="244"/>
      <c r="F34" s="244"/>
    </row>
    <row r="35" spans="1:7" x14ac:dyDescent="0.35">
      <c r="A35" s="99" t="s">
        <v>69</v>
      </c>
      <c r="B35" s="146">
        <v>5.0000000000000001E-3</v>
      </c>
      <c r="C35" s="110">
        <f>$C$34*$B$35</f>
        <v>86625</v>
      </c>
      <c r="E35" s="244"/>
    </row>
    <row r="36" spans="1:7" x14ac:dyDescent="0.35">
      <c r="A36" s="99" t="s">
        <v>77</v>
      </c>
      <c r="B36" s="99"/>
      <c r="C36" s="105">
        <v>60000</v>
      </c>
    </row>
    <row r="37" spans="1:7" x14ac:dyDescent="0.35">
      <c r="A37" s="99" t="s">
        <v>72</v>
      </c>
      <c r="B37" s="146">
        <v>3.1E-2</v>
      </c>
      <c r="C37" s="110">
        <f>$C$34*B37</f>
        <v>537075</v>
      </c>
      <c r="D37" s="95" t="s">
        <v>51</v>
      </c>
      <c r="E37" s="365">
        <f>+Proforma!$B$161</f>
        <v>0.10164555101899242</v>
      </c>
      <c r="F37" s="244"/>
      <c r="G37" s="244"/>
    </row>
    <row r="38" spans="1:7" x14ac:dyDescent="0.35">
      <c r="A38" s="99" t="s">
        <v>214</v>
      </c>
      <c r="B38" s="99"/>
      <c r="C38" s="105">
        <v>2500000</v>
      </c>
      <c r="D38" s="95" t="s">
        <v>298</v>
      </c>
      <c r="E38" s="114">
        <f>+AVERAGE(Proforma!E162:AG162)</f>
        <v>8.0151969768339201E-2</v>
      </c>
    </row>
    <row r="39" spans="1:7" x14ac:dyDescent="0.35">
      <c r="A39" s="99"/>
      <c r="B39" s="99"/>
      <c r="C39" s="107">
        <f>SUM(C34:C38)</f>
        <v>20508700</v>
      </c>
    </row>
    <row r="40" spans="1:7" x14ac:dyDescent="0.35">
      <c r="A40" s="99"/>
      <c r="B40" s="99"/>
      <c r="C40" s="90"/>
    </row>
    <row r="41" spans="1:7" x14ac:dyDescent="0.35">
      <c r="A41" s="102" t="s">
        <v>262</v>
      </c>
      <c r="B41" s="99"/>
      <c r="C41" s="99"/>
    </row>
    <row r="42" spans="1:7" x14ac:dyDescent="0.35">
      <c r="A42" s="99" t="s">
        <v>263</v>
      </c>
      <c r="B42" s="99"/>
      <c r="C42" s="99"/>
    </row>
    <row r="43" spans="1:7" x14ac:dyDescent="0.35">
      <c r="A43" s="119" t="s">
        <v>121</v>
      </c>
      <c r="B43" s="99"/>
      <c r="C43" s="125">
        <v>3.2500000000000001E-2</v>
      </c>
    </row>
    <row r="44" spans="1:7" x14ac:dyDescent="0.35">
      <c r="A44" s="119" t="s">
        <v>120</v>
      </c>
      <c r="B44" s="99"/>
      <c r="C44" s="96">
        <v>25</v>
      </c>
    </row>
    <row r="45" spans="1:7" x14ac:dyDescent="0.35">
      <c r="A45" s="99" t="s">
        <v>264</v>
      </c>
      <c r="B45" s="99"/>
      <c r="C45" s="99"/>
    </row>
    <row r="46" spans="1:7" x14ac:dyDescent="0.35">
      <c r="A46" s="119" t="s">
        <v>89</v>
      </c>
      <c r="B46" s="99"/>
      <c r="C46" s="212">
        <v>4.1500000000000002E-2</v>
      </c>
    </row>
    <row r="47" spans="1:7" x14ac:dyDescent="0.35">
      <c r="A47" s="119" t="s">
        <v>269</v>
      </c>
      <c r="B47" s="99"/>
      <c r="C47" s="105">
        <v>360</v>
      </c>
    </row>
    <row r="48" spans="1:7" x14ac:dyDescent="0.35">
      <c r="A48" s="119" t="s">
        <v>272</v>
      </c>
      <c r="B48" s="99"/>
      <c r="C48" s="211">
        <v>1</v>
      </c>
    </row>
    <row r="49" spans="1:5" x14ac:dyDescent="0.35">
      <c r="A49" s="119" t="s">
        <v>267</v>
      </c>
      <c r="B49" s="99"/>
      <c r="C49" s="211">
        <f>+C30-'Loan Ammortization'!C7</f>
        <v>24950</v>
      </c>
    </row>
    <row r="50" spans="1:5" x14ac:dyDescent="0.35">
      <c r="A50" s="99"/>
      <c r="B50" s="99"/>
      <c r="C50" s="90"/>
    </row>
    <row r="51" spans="1:5" x14ac:dyDescent="0.35">
      <c r="A51" s="102" t="s">
        <v>215</v>
      </c>
      <c r="B51" s="99"/>
      <c r="C51" s="90"/>
    </row>
    <row r="52" spans="1:5" x14ac:dyDescent="0.35">
      <c r="A52" s="99" t="s">
        <v>216</v>
      </c>
      <c r="B52" s="99"/>
      <c r="C52" s="173">
        <f>C38</f>
        <v>2500000</v>
      </c>
    </row>
    <row r="53" spans="1:5" x14ac:dyDescent="0.35">
      <c r="A53" s="99" t="s">
        <v>217</v>
      </c>
      <c r="B53" s="99"/>
      <c r="C53" s="173">
        <f>ROUND(C52/C7,2)</f>
        <v>5133.47</v>
      </c>
    </row>
    <row r="54" spans="1:5" x14ac:dyDescent="0.35">
      <c r="A54" s="99" t="s">
        <v>235</v>
      </c>
      <c r="B54" s="100" t="s">
        <v>328</v>
      </c>
      <c r="C54" s="242">
        <v>0.04</v>
      </c>
    </row>
    <row r="55" spans="1:5" x14ac:dyDescent="0.35">
      <c r="A55" s="99" t="s">
        <v>235</v>
      </c>
      <c r="B55" s="100" t="s">
        <v>326</v>
      </c>
      <c r="C55" s="242">
        <v>0.05</v>
      </c>
    </row>
    <row r="56" spans="1:5" x14ac:dyDescent="0.35">
      <c r="A56" s="99" t="s">
        <v>235</v>
      </c>
      <c r="B56" s="100" t="s">
        <v>327</v>
      </c>
      <c r="C56" s="242">
        <v>0.06</v>
      </c>
    </row>
    <row r="57" spans="1:5" x14ac:dyDescent="0.35">
      <c r="A57" s="99" t="s">
        <v>239</v>
      </c>
      <c r="B57" s="100"/>
      <c r="C57" s="193">
        <v>0.8</v>
      </c>
    </row>
    <row r="58" spans="1:5" x14ac:dyDescent="0.35">
      <c r="A58" s="99"/>
      <c r="B58" s="99"/>
      <c r="C58" s="109"/>
      <c r="E58" s="243"/>
    </row>
    <row r="59" spans="1:5" x14ac:dyDescent="0.35">
      <c r="A59" s="102" t="s">
        <v>275</v>
      </c>
      <c r="B59" s="99"/>
      <c r="C59" s="109"/>
    </row>
    <row r="60" spans="1:5" x14ac:dyDescent="0.35">
      <c r="A60" s="99" t="s">
        <v>280</v>
      </c>
      <c r="B60" s="100"/>
      <c r="C60" s="105">
        <v>400</v>
      </c>
    </row>
    <row r="61" spans="1:5" x14ac:dyDescent="0.35">
      <c r="A61" s="99" t="s">
        <v>276</v>
      </c>
      <c r="B61" s="99"/>
      <c r="C61" s="105">
        <v>3</v>
      </c>
    </row>
    <row r="62" spans="1:5" x14ac:dyDescent="0.35">
      <c r="A62" s="99" t="s">
        <v>277</v>
      </c>
      <c r="B62" s="99"/>
      <c r="C62" s="213">
        <v>0.75</v>
      </c>
    </row>
    <row r="63" spans="1:5" x14ac:dyDescent="0.35">
      <c r="A63" s="99" t="s">
        <v>281</v>
      </c>
      <c r="B63" s="99"/>
      <c r="C63" s="105">
        <v>2</v>
      </c>
    </row>
    <row r="64" spans="1:5" x14ac:dyDescent="0.35">
      <c r="A64" s="99"/>
      <c r="B64" s="99"/>
      <c r="C64" s="109"/>
    </row>
    <row r="65" spans="1:4" x14ac:dyDescent="0.35">
      <c r="A65" s="102" t="s">
        <v>109</v>
      </c>
      <c r="B65" s="100"/>
      <c r="C65" s="109"/>
    </row>
    <row r="66" spans="1:4" x14ac:dyDescent="0.35">
      <c r="A66" s="99" t="s">
        <v>110</v>
      </c>
      <c r="B66" s="122"/>
    </row>
    <row r="67" spans="1:4" x14ac:dyDescent="0.35">
      <c r="A67" s="119" t="s">
        <v>111</v>
      </c>
      <c r="B67" s="122"/>
      <c r="C67" s="132">
        <v>2.5</v>
      </c>
    </row>
    <row r="68" spans="1:4" x14ac:dyDescent="0.35">
      <c r="A68" s="119" t="s">
        <v>112</v>
      </c>
      <c r="B68" s="122"/>
      <c r="C68" s="105">
        <v>2700</v>
      </c>
    </row>
    <row r="69" spans="1:4" x14ac:dyDescent="0.35">
      <c r="A69" s="119" t="s">
        <v>113</v>
      </c>
      <c r="B69" s="122"/>
      <c r="C69" s="133">
        <v>0.03</v>
      </c>
    </row>
    <row r="70" spans="1:4" x14ac:dyDescent="0.35">
      <c r="A70" s="99" t="s">
        <v>114</v>
      </c>
      <c r="B70" s="122"/>
      <c r="C70" s="108"/>
    </row>
    <row r="71" spans="1:4" x14ac:dyDescent="0.35">
      <c r="A71" s="119" t="s">
        <v>111</v>
      </c>
      <c r="B71" s="122"/>
      <c r="C71" s="132">
        <v>2.6</v>
      </c>
    </row>
    <row r="72" spans="1:4" x14ac:dyDescent="0.35">
      <c r="A72" s="119" t="s">
        <v>113</v>
      </c>
      <c r="B72" s="122"/>
      <c r="C72" s="133">
        <v>0.03</v>
      </c>
    </row>
    <row r="73" spans="1:4" x14ac:dyDescent="0.35">
      <c r="A73" s="119" t="s">
        <v>115</v>
      </c>
      <c r="B73" s="122"/>
      <c r="C73" s="105">
        <v>1200</v>
      </c>
    </row>
    <row r="74" spans="1:4" x14ac:dyDescent="0.35">
      <c r="A74" s="119" t="s">
        <v>116</v>
      </c>
      <c r="B74" s="122"/>
      <c r="C74" s="105">
        <v>2100</v>
      </c>
    </row>
    <row r="75" spans="1:4" x14ac:dyDescent="0.35">
      <c r="A75" s="119" t="s">
        <v>117</v>
      </c>
      <c r="B75" s="122"/>
      <c r="C75" s="105">
        <v>2600</v>
      </c>
    </row>
    <row r="76" spans="1:4" x14ac:dyDescent="0.35">
      <c r="A76" s="119" t="s">
        <v>118</v>
      </c>
      <c r="B76" s="122"/>
      <c r="C76" s="105">
        <v>3300</v>
      </c>
    </row>
    <row r="77" spans="1:4" x14ac:dyDescent="0.35">
      <c r="A77" s="119"/>
      <c r="B77" s="122"/>
      <c r="C77" s="109"/>
      <c r="D77" s="367" t="s">
        <v>210</v>
      </c>
    </row>
    <row r="78" spans="1:4" ht="15.75" customHeight="1" x14ac:dyDescent="0.35">
      <c r="A78" s="119"/>
      <c r="B78" s="122"/>
      <c r="C78" s="109"/>
      <c r="D78" s="367"/>
    </row>
    <row r="79" spans="1:4" ht="15.75" customHeight="1" x14ac:dyDescent="0.35">
      <c r="A79" s="99"/>
      <c r="B79" s="99"/>
      <c r="C79" s="109"/>
      <c r="D79" s="367"/>
    </row>
    <row r="80" spans="1:4" x14ac:dyDescent="0.35">
      <c r="A80" s="102" t="s">
        <v>194</v>
      </c>
      <c r="B80" s="139" t="s">
        <v>79</v>
      </c>
      <c r="C80" s="109"/>
      <c r="D80" s="368"/>
    </row>
    <row r="81" spans="1:4" x14ac:dyDescent="0.35">
      <c r="A81" s="99" t="s">
        <v>249</v>
      </c>
      <c r="B81" s="145">
        <v>40</v>
      </c>
      <c r="C81" s="110">
        <f t="shared" ref="C81:C83" si="0">ROUNDUP(B81*$C$7,-1)</f>
        <v>19480</v>
      </c>
      <c r="D81" s="169">
        <v>1</v>
      </c>
    </row>
    <row r="82" spans="1:4" x14ac:dyDescent="0.35">
      <c r="A82" s="99" t="s">
        <v>250</v>
      </c>
      <c r="B82" s="145">
        <v>60</v>
      </c>
      <c r="C82" s="110">
        <f t="shared" si="0"/>
        <v>29220</v>
      </c>
      <c r="D82" s="169">
        <v>2</v>
      </c>
    </row>
    <row r="83" spans="1:4" x14ac:dyDescent="0.35">
      <c r="A83" s="99" t="s">
        <v>251</v>
      </c>
      <c r="B83" s="145">
        <v>20</v>
      </c>
      <c r="C83" s="110">
        <f t="shared" si="0"/>
        <v>9740</v>
      </c>
      <c r="D83" s="169">
        <v>1</v>
      </c>
    </row>
    <row r="84" spans="1:4" x14ac:dyDescent="0.35">
      <c r="A84" s="99" t="s">
        <v>252</v>
      </c>
      <c r="B84" s="145">
        <v>65</v>
      </c>
      <c r="C84" s="110">
        <f>ROUNDUP(B84*$C$8,-1)</f>
        <v>29710</v>
      </c>
      <c r="D84" s="169">
        <v>2</v>
      </c>
    </row>
    <row r="85" spans="1:4" x14ac:dyDescent="0.35">
      <c r="A85" s="99" t="s">
        <v>273</v>
      </c>
      <c r="B85" s="137">
        <f>B133</f>
        <v>3738</v>
      </c>
      <c r="C85" s="110">
        <f>ROUNDUP(B85*$C$11,-1)</f>
        <v>1427920</v>
      </c>
      <c r="D85" s="169">
        <v>1</v>
      </c>
    </row>
    <row r="86" spans="1:4" x14ac:dyDescent="0.35">
      <c r="A86" s="99" t="s">
        <v>274</v>
      </c>
      <c r="B86" s="137">
        <f>SUM(B136:$B$168)</f>
        <v>2653</v>
      </c>
      <c r="C86" s="110">
        <f>ROUNDUP(B86*$C$12,-1)</f>
        <v>198980</v>
      </c>
      <c r="D86" s="169">
        <v>1</v>
      </c>
    </row>
    <row r="87" spans="1:4" x14ac:dyDescent="0.35">
      <c r="A87" s="99" t="s">
        <v>130</v>
      </c>
      <c r="B87" s="137">
        <f>ROUND(IFERROR((SUM(C34:C37)/C7)/$B$88,0),-2)</f>
        <v>1500</v>
      </c>
      <c r="C87" s="110">
        <f>B87*C7</f>
        <v>730500</v>
      </c>
      <c r="D87" s="169">
        <v>2</v>
      </c>
    </row>
    <row r="88" spans="1:4" x14ac:dyDescent="0.35">
      <c r="A88" s="99" t="s">
        <v>294</v>
      </c>
      <c r="B88" s="241">
        <v>25</v>
      </c>
      <c r="C88" s="109"/>
      <c r="D88" s="100"/>
    </row>
    <row r="89" spans="1:4" x14ac:dyDescent="0.35">
      <c r="A89" s="99" t="s">
        <v>254</v>
      </c>
      <c r="B89" s="145">
        <v>10</v>
      </c>
      <c r="C89" s="110">
        <f>ROUNDUP(B89*$C$8,-1)</f>
        <v>4570</v>
      </c>
      <c r="D89" s="169">
        <v>2</v>
      </c>
    </row>
    <row r="90" spans="1:4" x14ac:dyDescent="0.35">
      <c r="A90" s="99" t="s">
        <v>255</v>
      </c>
      <c r="B90" s="145">
        <v>15</v>
      </c>
      <c r="C90" s="110">
        <f>ROUNDUP(B90*$C$7,-1)</f>
        <v>7310</v>
      </c>
      <c r="D90" s="169">
        <v>1</v>
      </c>
    </row>
    <row r="91" spans="1:4" x14ac:dyDescent="0.35">
      <c r="A91" s="99" t="s">
        <v>256</v>
      </c>
      <c r="B91" s="145">
        <v>20</v>
      </c>
      <c r="C91" s="110">
        <f>ROUNDUP(B91*$C$7,-1)</f>
        <v>9740</v>
      </c>
      <c r="D91" s="169">
        <v>1</v>
      </c>
    </row>
    <row r="92" spans="1:4" x14ac:dyDescent="0.35">
      <c r="A92" s="99" t="s">
        <v>258</v>
      </c>
      <c r="B92" s="145">
        <v>10</v>
      </c>
      <c r="C92" s="110">
        <f>ROUNDUP(B92*$C$8,-1)</f>
        <v>4570</v>
      </c>
      <c r="D92" s="169">
        <v>2</v>
      </c>
    </row>
    <row r="93" spans="1:4" x14ac:dyDescent="0.35">
      <c r="A93" s="99" t="s">
        <v>257</v>
      </c>
      <c r="B93" s="145">
        <v>100</v>
      </c>
      <c r="C93" s="110">
        <f>ROUND($C$7*B93,-1)</f>
        <v>48700</v>
      </c>
      <c r="D93" s="169">
        <v>1</v>
      </c>
    </row>
    <row r="94" spans="1:4" x14ac:dyDescent="0.35">
      <c r="A94" s="99" t="s">
        <v>259</v>
      </c>
      <c r="B94" s="146">
        <v>7.4999999999999997E-3</v>
      </c>
      <c r="C94" s="110">
        <f>ROUNDUP($C$28*B94,-1)</f>
        <v>81380</v>
      </c>
      <c r="D94" s="169">
        <v>2</v>
      </c>
    </row>
    <row r="95" spans="1:4" x14ac:dyDescent="0.35">
      <c r="A95" s="99" t="s">
        <v>133</v>
      </c>
      <c r="B95" s="147">
        <v>0.02</v>
      </c>
      <c r="C95" s="110"/>
      <c r="D95" s="100"/>
    </row>
    <row r="96" spans="1:4" x14ac:dyDescent="0.35">
      <c r="A96" s="99"/>
      <c r="B96" s="100"/>
      <c r="C96" s="107">
        <f>SUM(C81:C94)</f>
        <v>2601820</v>
      </c>
    </row>
    <row r="97" spans="1:10" x14ac:dyDescent="0.35">
      <c r="A97" s="99"/>
      <c r="B97" s="100"/>
      <c r="C97" s="90"/>
    </row>
    <row r="98" spans="1:10" x14ac:dyDescent="0.35">
      <c r="A98" s="99"/>
      <c r="B98" s="99"/>
      <c r="C98" s="111"/>
    </row>
    <row r="99" spans="1:10" x14ac:dyDescent="0.35">
      <c r="A99" s="102" t="s">
        <v>184</v>
      </c>
      <c r="B99" s="144" t="s">
        <v>79</v>
      </c>
      <c r="C99" s="111"/>
    </row>
    <row r="100" spans="1:10" x14ac:dyDescent="0.35">
      <c r="A100" s="99" t="s">
        <v>181</v>
      </c>
      <c r="B100" s="105">
        <v>0</v>
      </c>
      <c r="C100" s="111"/>
    </row>
    <row r="101" spans="1:10" x14ac:dyDescent="0.35">
      <c r="A101" s="99" t="s">
        <v>182</v>
      </c>
      <c r="B101" s="105">
        <v>0</v>
      </c>
      <c r="C101" s="111"/>
    </row>
    <row r="102" spans="1:10" x14ac:dyDescent="0.35">
      <c r="A102" s="136" t="s">
        <v>134</v>
      </c>
      <c r="B102" s="140">
        <v>490</v>
      </c>
      <c r="C102" s="138" t="s">
        <v>135</v>
      </c>
    </row>
    <row r="103" spans="1:10" x14ac:dyDescent="0.35">
      <c r="A103" s="136" t="s">
        <v>136</v>
      </c>
      <c r="B103" s="140">
        <v>150</v>
      </c>
      <c r="C103" s="138"/>
    </row>
    <row r="104" spans="1:10" x14ac:dyDescent="0.35">
      <c r="A104" s="136" t="s">
        <v>137</v>
      </c>
      <c r="B104" s="140">
        <v>149</v>
      </c>
      <c r="C104" s="138" t="s">
        <v>138</v>
      </c>
      <c r="E104" s="112"/>
      <c r="F104" s="112"/>
      <c r="G104" s="112"/>
      <c r="H104" s="112"/>
    </row>
    <row r="105" spans="1:10" x14ac:dyDescent="0.35">
      <c r="A105" s="136" t="s">
        <v>139</v>
      </c>
      <c r="B105" s="140">
        <v>120</v>
      </c>
      <c r="C105" s="138" t="s">
        <v>140</v>
      </c>
      <c r="E105" s="112"/>
      <c r="F105" s="112"/>
      <c r="G105" s="112"/>
      <c r="H105" s="112"/>
    </row>
    <row r="106" spans="1:10" x14ac:dyDescent="0.35">
      <c r="A106" s="136" t="s">
        <v>141</v>
      </c>
      <c r="B106" s="140">
        <v>185</v>
      </c>
      <c r="C106" s="138" t="s">
        <v>142</v>
      </c>
      <c r="D106" s="112"/>
      <c r="E106" s="112"/>
      <c r="F106" s="112"/>
      <c r="G106" s="112"/>
      <c r="H106" s="112"/>
    </row>
    <row r="107" spans="1:10" x14ac:dyDescent="0.35">
      <c r="A107" s="136" t="s">
        <v>143</v>
      </c>
      <c r="B107" s="140">
        <v>175</v>
      </c>
      <c r="C107" s="138" t="s">
        <v>144</v>
      </c>
      <c r="D107" s="112"/>
      <c r="E107" s="113"/>
      <c r="F107" s="113"/>
      <c r="G107" s="113"/>
      <c r="H107" s="113"/>
    </row>
    <row r="108" spans="1:10" x14ac:dyDescent="0.35">
      <c r="A108" s="136" t="s">
        <v>145</v>
      </c>
      <c r="B108" s="140">
        <v>70</v>
      </c>
      <c r="C108" s="138" t="s">
        <v>146</v>
      </c>
      <c r="D108" s="99"/>
      <c r="F108" s="112"/>
      <c r="G108" s="113"/>
      <c r="H108" s="113"/>
      <c r="I108" s="113"/>
      <c r="J108" s="113"/>
    </row>
    <row r="109" spans="1:10" x14ac:dyDescent="0.35">
      <c r="A109" s="136" t="s">
        <v>147</v>
      </c>
      <c r="B109" s="140">
        <v>105</v>
      </c>
      <c r="C109" s="138" t="s">
        <v>148</v>
      </c>
      <c r="D109" s="99"/>
      <c r="F109" s="113"/>
    </row>
    <row r="110" spans="1:10" x14ac:dyDescent="0.35">
      <c r="A110" s="136" t="s">
        <v>149</v>
      </c>
      <c r="B110" s="140">
        <v>45</v>
      </c>
      <c r="C110" s="138" t="s">
        <v>150</v>
      </c>
      <c r="F110" s="113"/>
    </row>
    <row r="111" spans="1:10" x14ac:dyDescent="0.35">
      <c r="A111" s="136" t="s">
        <v>151</v>
      </c>
      <c r="B111" s="140">
        <v>165</v>
      </c>
      <c r="C111" s="138" t="s">
        <v>152</v>
      </c>
      <c r="E111" s="112"/>
    </row>
    <row r="112" spans="1:10" x14ac:dyDescent="0.35">
      <c r="A112" s="136" t="s">
        <v>153</v>
      </c>
      <c r="B112" s="140">
        <v>60</v>
      </c>
      <c r="C112" s="138" t="s">
        <v>154</v>
      </c>
      <c r="D112" s="114"/>
      <c r="E112" s="112"/>
    </row>
    <row r="113" spans="1:5" x14ac:dyDescent="0.35">
      <c r="A113" s="136" t="s">
        <v>155</v>
      </c>
      <c r="B113" s="140">
        <v>245</v>
      </c>
      <c r="C113" s="138" t="s">
        <v>148</v>
      </c>
      <c r="D113" s="112"/>
      <c r="E113" s="112"/>
    </row>
    <row r="114" spans="1:5" x14ac:dyDescent="0.35">
      <c r="A114" s="136" t="s">
        <v>156</v>
      </c>
      <c r="B114" s="140">
        <v>19</v>
      </c>
      <c r="C114" s="138" t="s">
        <v>154</v>
      </c>
      <c r="D114" s="112"/>
      <c r="E114" s="113"/>
    </row>
    <row r="115" spans="1:5" x14ac:dyDescent="0.35">
      <c r="A115" s="136" t="s">
        <v>157</v>
      </c>
      <c r="B115" s="140">
        <v>105</v>
      </c>
      <c r="C115" s="138" t="s">
        <v>152</v>
      </c>
      <c r="D115" s="113"/>
      <c r="E115" s="113"/>
    </row>
    <row r="116" spans="1:5" x14ac:dyDescent="0.35">
      <c r="A116" s="136" t="s">
        <v>158</v>
      </c>
      <c r="B116" s="140">
        <v>25</v>
      </c>
      <c r="C116" s="138"/>
      <c r="D116" s="113"/>
    </row>
    <row r="117" spans="1:5" x14ac:dyDescent="0.35">
      <c r="A117" s="136" t="s">
        <v>159</v>
      </c>
      <c r="B117" s="140">
        <v>25</v>
      </c>
      <c r="C117" s="138"/>
      <c r="D117" s="113"/>
    </row>
    <row r="118" spans="1:5" x14ac:dyDescent="0.35">
      <c r="A118" s="136" t="s">
        <v>160</v>
      </c>
      <c r="B118" s="140">
        <v>410</v>
      </c>
      <c r="C118" s="138" t="s">
        <v>161</v>
      </c>
      <c r="D118" s="113"/>
    </row>
    <row r="119" spans="1:5" x14ac:dyDescent="0.35">
      <c r="A119" s="136" t="s">
        <v>162</v>
      </c>
      <c r="B119" s="140">
        <v>160</v>
      </c>
      <c r="C119" s="138" t="s">
        <v>163</v>
      </c>
    </row>
    <row r="120" spans="1:5" x14ac:dyDescent="0.35">
      <c r="A120" s="136" t="s">
        <v>164</v>
      </c>
      <c r="B120" s="140">
        <v>0</v>
      </c>
      <c r="C120" s="138"/>
    </row>
    <row r="121" spans="1:5" x14ac:dyDescent="0.35">
      <c r="A121" s="136" t="s">
        <v>165</v>
      </c>
      <c r="B121" s="140">
        <v>60</v>
      </c>
      <c r="C121" s="138" t="s">
        <v>166</v>
      </c>
    </row>
    <row r="122" spans="1:5" x14ac:dyDescent="0.35">
      <c r="A122" s="136" t="s">
        <v>167</v>
      </c>
      <c r="B122" s="140">
        <v>0</v>
      </c>
      <c r="C122" s="138"/>
    </row>
    <row r="123" spans="1:5" x14ac:dyDescent="0.35">
      <c r="A123" s="136" t="s">
        <v>168</v>
      </c>
      <c r="B123" s="140">
        <v>35</v>
      </c>
      <c r="C123" s="138" t="s">
        <v>169</v>
      </c>
    </row>
    <row r="124" spans="1:5" x14ac:dyDescent="0.35">
      <c r="A124" s="136" t="s">
        <v>170</v>
      </c>
      <c r="B124" s="140">
        <v>470</v>
      </c>
      <c r="C124" s="138"/>
    </row>
    <row r="125" spans="1:5" x14ac:dyDescent="0.35">
      <c r="A125" s="136" t="s">
        <v>171</v>
      </c>
      <c r="B125" s="140">
        <v>50</v>
      </c>
      <c r="C125" s="138" t="s">
        <v>172</v>
      </c>
    </row>
    <row r="126" spans="1:5" x14ac:dyDescent="0.35">
      <c r="A126" s="136" t="s">
        <v>173</v>
      </c>
      <c r="B126" s="140">
        <v>125</v>
      </c>
      <c r="C126" s="138" t="s">
        <v>174</v>
      </c>
    </row>
    <row r="127" spans="1:5" x14ac:dyDescent="0.35">
      <c r="A127" s="136" t="s">
        <v>175</v>
      </c>
      <c r="B127" s="140">
        <v>0</v>
      </c>
      <c r="C127" s="138"/>
    </row>
    <row r="128" spans="1:5" x14ac:dyDescent="0.35">
      <c r="A128" s="136" t="s">
        <v>176</v>
      </c>
      <c r="B128" s="140">
        <v>115</v>
      </c>
      <c r="C128" s="138"/>
    </row>
    <row r="129" spans="1:3" x14ac:dyDescent="0.35">
      <c r="A129" s="136" t="s">
        <v>177</v>
      </c>
      <c r="B129" s="140">
        <v>30</v>
      </c>
      <c r="C129" s="138"/>
    </row>
    <row r="130" spans="1:3" x14ac:dyDescent="0.35">
      <c r="A130" s="136" t="s">
        <v>178</v>
      </c>
      <c r="B130" s="140">
        <v>0</v>
      </c>
      <c r="C130" s="138"/>
    </row>
    <row r="131" spans="1:3" x14ac:dyDescent="0.35">
      <c r="A131" s="136" t="s">
        <v>179</v>
      </c>
      <c r="B131" s="140">
        <v>0</v>
      </c>
      <c r="C131" s="138"/>
    </row>
    <row r="132" spans="1:3" x14ac:dyDescent="0.35">
      <c r="A132" s="136" t="s">
        <v>80</v>
      </c>
      <c r="B132" s="140">
        <v>150</v>
      </c>
      <c r="C132" s="138" t="s">
        <v>180</v>
      </c>
    </row>
    <row r="133" spans="1:3" ht="16" thickBot="1" x14ac:dyDescent="0.4">
      <c r="A133" s="136"/>
      <c r="B133" s="143">
        <f>SUM(B100:B132)</f>
        <v>3738</v>
      </c>
      <c r="C133" s="138"/>
    </row>
    <row r="134" spans="1:3" ht="16" thickTop="1" x14ac:dyDescent="0.35"/>
    <row r="135" spans="1:3" x14ac:dyDescent="0.35">
      <c r="A135" s="102" t="s">
        <v>183</v>
      </c>
      <c r="B135" s="144" t="s">
        <v>79</v>
      </c>
      <c r="C135" s="111"/>
    </row>
    <row r="136" spans="1:3" x14ac:dyDescent="0.35">
      <c r="A136" s="136" t="s">
        <v>185</v>
      </c>
      <c r="B136" s="140">
        <v>0</v>
      </c>
      <c r="C136" s="138"/>
    </row>
    <row r="137" spans="1:3" x14ac:dyDescent="0.35">
      <c r="A137" s="136" t="s">
        <v>186</v>
      </c>
      <c r="B137" s="140">
        <v>0</v>
      </c>
      <c r="C137" s="138"/>
    </row>
    <row r="138" spans="1:3" x14ac:dyDescent="0.35">
      <c r="A138" s="136" t="s">
        <v>134</v>
      </c>
      <c r="B138" s="140">
        <v>385</v>
      </c>
      <c r="C138" s="138" t="s">
        <v>187</v>
      </c>
    </row>
    <row r="139" spans="1:3" x14ac:dyDescent="0.35">
      <c r="A139" s="136" t="s">
        <v>136</v>
      </c>
      <c r="B139" s="140">
        <v>105</v>
      </c>
      <c r="C139" s="138"/>
    </row>
    <row r="140" spans="1:3" x14ac:dyDescent="0.35">
      <c r="A140" s="136" t="s">
        <v>137</v>
      </c>
      <c r="B140" s="140">
        <v>98</v>
      </c>
      <c r="C140" s="138" t="s">
        <v>188</v>
      </c>
    </row>
    <row r="141" spans="1:3" x14ac:dyDescent="0.35">
      <c r="A141" s="136" t="s">
        <v>139</v>
      </c>
      <c r="B141" s="140">
        <v>95</v>
      </c>
      <c r="C141" s="138" t="s">
        <v>189</v>
      </c>
    </row>
    <row r="142" spans="1:3" x14ac:dyDescent="0.35">
      <c r="A142" s="136" t="s">
        <v>141</v>
      </c>
      <c r="B142" s="140">
        <v>140</v>
      </c>
      <c r="C142" s="138" t="s">
        <v>190</v>
      </c>
    </row>
    <row r="143" spans="1:3" x14ac:dyDescent="0.35">
      <c r="A143" s="136" t="s">
        <v>143</v>
      </c>
      <c r="B143" s="140">
        <v>125</v>
      </c>
      <c r="C143" s="138" t="s">
        <v>144</v>
      </c>
    </row>
    <row r="144" spans="1:3" x14ac:dyDescent="0.35">
      <c r="A144" s="136" t="s">
        <v>145</v>
      </c>
      <c r="B144" s="140">
        <v>70</v>
      </c>
      <c r="C144" s="138" t="s">
        <v>146</v>
      </c>
    </row>
    <row r="145" spans="1:3" x14ac:dyDescent="0.35">
      <c r="A145" s="136" t="s">
        <v>147</v>
      </c>
      <c r="B145" s="140">
        <v>110</v>
      </c>
      <c r="C145" s="138" t="s">
        <v>148</v>
      </c>
    </row>
    <row r="146" spans="1:3" x14ac:dyDescent="0.35">
      <c r="A146" s="136" t="s">
        <v>149</v>
      </c>
      <c r="B146" s="140">
        <v>0</v>
      </c>
      <c r="C146" s="138"/>
    </row>
    <row r="147" spans="1:3" x14ac:dyDescent="0.35">
      <c r="A147" s="136" t="s">
        <v>151</v>
      </c>
      <c r="B147" s="140">
        <v>0</v>
      </c>
      <c r="C147" s="138"/>
    </row>
    <row r="148" spans="1:3" x14ac:dyDescent="0.35">
      <c r="A148" s="136" t="s">
        <v>153</v>
      </c>
      <c r="B148" s="140">
        <v>120</v>
      </c>
      <c r="C148" s="138" t="s">
        <v>191</v>
      </c>
    </row>
    <row r="149" spans="1:3" x14ac:dyDescent="0.35">
      <c r="A149" s="136" t="s">
        <v>155</v>
      </c>
      <c r="B149" s="140">
        <v>170</v>
      </c>
      <c r="C149" s="138" t="s">
        <v>152</v>
      </c>
    </row>
    <row r="150" spans="1:3" x14ac:dyDescent="0.35">
      <c r="A150" s="136" t="s">
        <v>156</v>
      </c>
      <c r="B150" s="140">
        <v>0</v>
      </c>
      <c r="C150" s="138"/>
    </row>
    <row r="151" spans="1:3" x14ac:dyDescent="0.35">
      <c r="A151" s="136" t="s">
        <v>157</v>
      </c>
      <c r="B151" s="140">
        <v>135</v>
      </c>
      <c r="C151" s="138" t="s">
        <v>152</v>
      </c>
    </row>
    <row r="152" spans="1:3" x14ac:dyDescent="0.35">
      <c r="A152" s="136" t="s">
        <v>158</v>
      </c>
      <c r="B152" s="140">
        <v>25</v>
      </c>
      <c r="C152" s="138"/>
    </row>
    <row r="153" spans="1:3" x14ac:dyDescent="0.35">
      <c r="A153" s="136" t="s">
        <v>159</v>
      </c>
      <c r="B153" s="140">
        <v>25</v>
      </c>
      <c r="C153" s="138"/>
    </row>
    <row r="154" spans="1:3" x14ac:dyDescent="0.35">
      <c r="A154" s="136" t="s">
        <v>160</v>
      </c>
      <c r="B154" s="140">
        <v>0</v>
      </c>
      <c r="C154" s="138" t="s">
        <v>161</v>
      </c>
    </row>
    <row r="155" spans="1:3" x14ac:dyDescent="0.35">
      <c r="A155" s="136" t="s">
        <v>162</v>
      </c>
      <c r="B155" s="140">
        <v>160</v>
      </c>
      <c r="C155" s="138" t="s">
        <v>192</v>
      </c>
    </row>
    <row r="156" spans="1:3" x14ac:dyDescent="0.35">
      <c r="A156" s="136" t="s">
        <v>164</v>
      </c>
      <c r="B156" s="140">
        <v>0</v>
      </c>
      <c r="C156" s="138"/>
    </row>
    <row r="157" spans="1:3" x14ac:dyDescent="0.35">
      <c r="A157" s="136" t="s">
        <v>165</v>
      </c>
      <c r="B157" s="140">
        <v>50</v>
      </c>
      <c r="C157" s="138" t="s">
        <v>166</v>
      </c>
    </row>
    <row r="158" spans="1:3" x14ac:dyDescent="0.35">
      <c r="A158" s="136" t="s">
        <v>167</v>
      </c>
      <c r="B158" s="140">
        <v>0</v>
      </c>
      <c r="C158" s="138"/>
    </row>
    <row r="159" spans="1:3" x14ac:dyDescent="0.35">
      <c r="A159" s="136" t="s">
        <v>168</v>
      </c>
      <c r="B159" s="140">
        <v>40</v>
      </c>
      <c r="C159" s="138" t="s">
        <v>169</v>
      </c>
    </row>
    <row r="160" spans="1:3" x14ac:dyDescent="0.35">
      <c r="A160" s="136" t="s">
        <v>170</v>
      </c>
      <c r="B160" s="140">
        <v>275</v>
      </c>
      <c r="C160" s="138"/>
    </row>
    <row r="161" spans="1:3" x14ac:dyDescent="0.35">
      <c r="A161" s="136" t="s">
        <v>171</v>
      </c>
      <c r="B161" s="140">
        <v>0</v>
      </c>
      <c r="C161" s="138" t="s">
        <v>172</v>
      </c>
    </row>
    <row r="162" spans="1:3" x14ac:dyDescent="0.35">
      <c r="A162" s="136" t="s">
        <v>173</v>
      </c>
      <c r="B162" s="140">
        <v>0</v>
      </c>
      <c r="C162" s="138" t="s">
        <v>174</v>
      </c>
    </row>
    <row r="163" spans="1:3" x14ac:dyDescent="0.35">
      <c r="A163" s="136" t="s">
        <v>175</v>
      </c>
      <c r="B163" s="140">
        <v>0</v>
      </c>
      <c r="C163" s="138"/>
    </row>
    <row r="164" spans="1:3" x14ac:dyDescent="0.35">
      <c r="A164" s="136" t="s">
        <v>176</v>
      </c>
      <c r="B164" s="140">
        <v>100</v>
      </c>
      <c r="C164" s="138"/>
    </row>
    <row r="165" spans="1:3" x14ac:dyDescent="0.35">
      <c r="A165" s="136" t="s">
        <v>177</v>
      </c>
      <c r="B165" s="140">
        <v>35</v>
      </c>
      <c r="C165" s="138"/>
    </row>
    <row r="166" spans="1:3" x14ac:dyDescent="0.35">
      <c r="A166" s="136" t="s">
        <v>178</v>
      </c>
      <c r="B166" s="140">
        <v>240</v>
      </c>
      <c r="C166" s="138"/>
    </row>
    <row r="167" spans="1:3" x14ac:dyDescent="0.35">
      <c r="A167" s="136" t="s">
        <v>179</v>
      </c>
      <c r="B167" s="140">
        <v>0</v>
      </c>
      <c r="C167" s="138"/>
    </row>
    <row r="168" spans="1:3" x14ac:dyDescent="0.35">
      <c r="A168" s="136" t="s">
        <v>80</v>
      </c>
      <c r="B168" s="140">
        <v>150</v>
      </c>
      <c r="C168" s="138" t="s">
        <v>180</v>
      </c>
    </row>
    <row r="169" spans="1:3" ht="16" thickBot="1" x14ac:dyDescent="0.4">
      <c r="A169" s="136"/>
      <c r="B169" s="143">
        <f>B86</f>
        <v>2653</v>
      </c>
      <c r="C169" s="138"/>
    </row>
    <row r="170" spans="1:3" ht="16" thickTop="1" x14ac:dyDescent="0.35"/>
    <row r="171" spans="1:3" x14ac:dyDescent="0.35">
      <c r="A171" s="102"/>
      <c r="B171" s="144"/>
    </row>
    <row r="172" spans="1:3" x14ac:dyDescent="0.35">
      <c r="A172" s="136"/>
      <c r="B172" s="140"/>
      <c r="C172" s="138"/>
    </row>
    <row r="173" spans="1:3" x14ac:dyDescent="0.35">
      <c r="A173" s="136"/>
      <c r="B173" s="140"/>
      <c r="C173" s="138"/>
    </row>
    <row r="174" spans="1:3" x14ac:dyDescent="0.35">
      <c r="A174" s="136"/>
      <c r="B174" s="140"/>
      <c r="C174" s="138"/>
    </row>
    <row r="175" spans="1:3" x14ac:dyDescent="0.35">
      <c r="A175" s="136"/>
      <c r="B175" s="140"/>
      <c r="C175" s="138"/>
    </row>
    <row r="176" spans="1:3" x14ac:dyDescent="0.35">
      <c r="A176" s="136"/>
      <c r="B176" s="140"/>
      <c r="C176" s="138"/>
    </row>
    <row r="177" spans="1:3" x14ac:dyDescent="0.35">
      <c r="A177" s="136"/>
      <c r="B177" s="140"/>
      <c r="C177" s="138"/>
    </row>
    <row r="178" spans="1:3" x14ac:dyDescent="0.35">
      <c r="A178" s="136"/>
      <c r="B178" s="140"/>
      <c r="C178" s="138"/>
    </row>
    <row r="179" spans="1:3" x14ac:dyDescent="0.35">
      <c r="A179" s="141"/>
      <c r="B179" s="140"/>
      <c r="C179" s="138"/>
    </row>
    <row r="180" spans="1:3" x14ac:dyDescent="0.35">
      <c r="A180" s="136"/>
      <c r="B180" s="140"/>
      <c r="C180" s="138"/>
    </row>
    <row r="181" spans="1:3" x14ac:dyDescent="0.35">
      <c r="A181" s="136"/>
      <c r="B181" s="140"/>
      <c r="C181" s="138"/>
    </row>
    <row r="182" spans="1:3" x14ac:dyDescent="0.35">
      <c r="A182" s="136"/>
      <c r="B182" s="140"/>
      <c r="C182" s="138"/>
    </row>
    <row r="183" spans="1:3" x14ac:dyDescent="0.35">
      <c r="A183" s="136"/>
      <c r="B183" s="140"/>
      <c r="C183" s="138"/>
    </row>
    <row r="184" spans="1:3" x14ac:dyDescent="0.35">
      <c r="A184" s="136"/>
      <c r="B184" s="140"/>
      <c r="C184" s="138"/>
    </row>
    <row r="185" spans="1:3" x14ac:dyDescent="0.35">
      <c r="A185" s="136"/>
      <c r="B185" s="140"/>
      <c r="C185" s="138"/>
    </row>
    <row r="186" spans="1:3" x14ac:dyDescent="0.35">
      <c r="A186" s="136"/>
      <c r="B186" s="140"/>
      <c r="C186" s="138"/>
    </row>
    <row r="187" spans="1:3" ht="16" thickBot="1" x14ac:dyDescent="0.4">
      <c r="A187" s="136"/>
      <c r="B187" s="142"/>
      <c r="C187" s="136"/>
    </row>
    <row r="188" spans="1:3" ht="16" thickTop="1" x14ac:dyDescent="0.35">
      <c r="A188" s="136"/>
      <c r="B188" s="136"/>
      <c r="C188" s="136"/>
    </row>
    <row r="189" spans="1:3" x14ac:dyDescent="0.35">
      <c r="A189" s="136"/>
      <c r="B189" s="136"/>
      <c r="C189" s="136"/>
    </row>
    <row r="190" spans="1:3" x14ac:dyDescent="0.35">
      <c r="A190" s="136"/>
      <c r="B190" s="136"/>
      <c r="C190" s="136"/>
    </row>
    <row r="191" spans="1:3" x14ac:dyDescent="0.35">
      <c r="A191" s="136"/>
      <c r="B191" s="136"/>
      <c r="C191" s="136"/>
    </row>
    <row r="192" spans="1:3" x14ac:dyDescent="0.35">
      <c r="A192" s="136"/>
      <c r="B192" s="136"/>
      <c r="C192" s="136"/>
    </row>
    <row r="193" spans="1:3" x14ac:dyDescent="0.35">
      <c r="A193" s="136"/>
      <c r="B193" s="136"/>
      <c r="C193" s="136"/>
    </row>
    <row r="194" spans="1:3" x14ac:dyDescent="0.35">
      <c r="A194" s="136"/>
      <c r="B194" s="136"/>
      <c r="C194" s="136"/>
    </row>
    <row r="195" spans="1:3" x14ac:dyDescent="0.35">
      <c r="A195" s="136"/>
      <c r="B195" s="136"/>
      <c r="C195" s="136"/>
    </row>
    <row r="196" spans="1:3" x14ac:dyDescent="0.35">
      <c r="A196" s="136"/>
      <c r="B196" s="136"/>
      <c r="C196" s="136"/>
    </row>
    <row r="197" spans="1:3" x14ac:dyDescent="0.35">
      <c r="A197" s="136"/>
      <c r="B197" s="136"/>
      <c r="C197" s="136"/>
    </row>
    <row r="198" spans="1:3" x14ac:dyDescent="0.35">
      <c r="A198" s="136"/>
      <c r="B198" s="136"/>
      <c r="C198" s="136"/>
    </row>
    <row r="199" spans="1:3" x14ac:dyDescent="0.35">
      <c r="A199" s="136"/>
      <c r="B199" s="136"/>
      <c r="C199" s="136"/>
    </row>
    <row r="200" spans="1:3" x14ac:dyDescent="0.35">
      <c r="A200" s="136"/>
      <c r="B200" s="136"/>
      <c r="C200" s="136"/>
    </row>
    <row r="201" spans="1:3" x14ac:dyDescent="0.35">
      <c r="A201" s="136"/>
      <c r="B201" s="136"/>
      <c r="C201" s="136"/>
    </row>
    <row r="202" spans="1:3" x14ac:dyDescent="0.35">
      <c r="A202" s="136"/>
      <c r="B202" s="136"/>
      <c r="C202" s="136"/>
    </row>
    <row r="203" spans="1:3" x14ac:dyDescent="0.35">
      <c r="A203" s="136"/>
      <c r="B203" s="136"/>
      <c r="C203" s="136"/>
    </row>
    <row r="204" spans="1:3" x14ac:dyDescent="0.35">
      <c r="A204" s="136"/>
      <c r="B204" s="136"/>
      <c r="C204" s="136"/>
    </row>
  </sheetData>
  <sortState xmlns:xlrd2="http://schemas.microsoft.com/office/spreadsheetml/2017/richdata2" ref="A81:C94">
    <sortCondition ref="A81:A94"/>
  </sortState>
  <mergeCells count="1">
    <mergeCell ref="D77:D80"/>
  </mergeCells>
  <phoneticPr fontId="19" type="noConversion"/>
  <pageMargins left="0.7" right="0.7" top="0.75" bottom="0.75" header="0.3" footer="0.3"/>
  <pageSetup scale="76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0"/>
  <sheetViews>
    <sheetView workbookViewId="0">
      <selection sqref="A1:B1"/>
    </sheetView>
  </sheetViews>
  <sheetFormatPr defaultColWidth="8.84375" defaultRowHeight="13.5" x14ac:dyDescent="0.3"/>
  <cols>
    <col min="1" max="1" width="4.4609375" bestFit="1" customWidth="1"/>
    <col min="2" max="2" width="33.15234375" bestFit="1" customWidth="1"/>
    <col min="3" max="3" width="11.15234375" bestFit="1" customWidth="1"/>
    <col min="4" max="4" width="7.61328125" bestFit="1" customWidth="1"/>
    <col min="5" max="5" width="2.15234375" customWidth="1"/>
    <col min="6" max="6" width="8" bestFit="1" customWidth="1"/>
    <col min="7" max="7" width="5.15234375" bestFit="1" customWidth="1"/>
    <col min="8" max="8" width="2.15234375" customWidth="1"/>
    <col min="9" max="9" width="9" bestFit="1" customWidth="1"/>
    <col min="10" max="10" width="7" bestFit="1" customWidth="1"/>
    <col min="11" max="11" width="2.15234375" customWidth="1"/>
  </cols>
  <sheetData>
    <row r="1" spans="1:11" x14ac:dyDescent="0.3">
      <c r="A1" s="386" t="s">
        <v>62</v>
      </c>
      <c r="B1" s="386"/>
    </row>
    <row r="2" spans="1:11" x14ac:dyDescent="0.3">
      <c r="A2" s="386" t="s">
        <v>19</v>
      </c>
      <c r="B2" s="386"/>
    </row>
    <row r="5" spans="1:11" x14ac:dyDescent="0.3">
      <c r="B5" s="15" t="s">
        <v>26</v>
      </c>
      <c r="C5" s="380">
        <v>2021</v>
      </c>
      <c r="D5" s="380"/>
      <c r="E5" s="33"/>
      <c r="F5" s="380">
        <f>C5+1</f>
        <v>2022</v>
      </c>
      <c r="G5" s="380"/>
      <c r="H5" s="33"/>
      <c r="I5" s="380">
        <f>F5+1</f>
        <v>2023</v>
      </c>
      <c r="J5" s="380"/>
      <c r="K5" s="33"/>
    </row>
    <row r="6" spans="1:11" x14ac:dyDescent="0.3">
      <c r="B6" s="15" t="s">
        <v>3</v>
      </c>
      <c r="C6" s="382">
        <v>0</v>
      </c>
      <c r="D6" s="382"/>
      <c r="E6" s="34"/>
      <c r="F6" s="380">
        <f>C6+1</f>
        <v>1</v>
      </c>
      <c r="G6" s="380"/>
      <c r="H6" s="34"/>
      <c r="I6" s="380">
        <f>F6+1</f>
        <v>2</v>
      </c>
      <c r="J6" s="380"/>
      <c r="K6" s="34"/>
    </row>
    <row r="7" spans="1:11" x14ac:dyDescent="0.3">
      <c r="C7" s="28" t="s">
        <v>0</v>
      </c>
      <c r="D7" s="28" t="s">
        <v>45</v>
      </c>
      <c r="E7" s="34"/>
      <c r="H7" s="34"/>
      <c r="K7" s="34"/>
    </row>
    <row r="8" spans="1:11" x14ac:dyDescent="0.3">
      <c r="A8" s="73">
        <v>0.1</v>
      </c>
      <c r="B8" t="s">
        <v>57</v>
      </c>
      <c r="C8" s="70" t="e">
        <f>-A8*#REF!</f>
        <v>#REF!</v>
      </c>
      <c r="D8" s="70" t="e">
        <f>C8/#REF!</f>
        <v>#REF!</v>
      </c>
      <c r="E8" s="34"/>
      <c r="H8" s="34"/>
      <c r="K8" s="34"/>
    </row>
    <row r="9" spans="1:11" x14ac:dyDescent="0.3">
      <c r="A9" s="73" t="e">
        <f>#REF!</f>
        <v>#REF!</v>
      </c>
      <c r="B9" t="e">
        <f>Proforma!#REF!</f>
        <v>#REF!</v>
      </c>
      <c r="C9" s="13" t="e">
        <f>#REF!*A9</f>
        <v>#REF!</v>
      </c>
      <c r="D9" s="13" t="e">
        <f>C9/#REF!</f>
        <v>#REF!</v>
      </c>
      <c r="E9" s="68"/>
      <c r="F9" s="13"/>
      <c r="G9" s="13"/>
      <c r="H9" s="68"/>
      <c r="I9" s="13"/>
      <c r="J9" s="13"/>
      <c r="K9" s="68"/>
    </row>
    <row r="10" spans="1:11" s="13" customFormat="1" x14ac:dyDescent="0.3">
      <c r="A10" s="73" t="e">
        <f>#REF!</f>
        <v>#REF!</v>
      </c>
      <c r="B10" s="69" t="e">
        <f>#REF!</f>
        <v>#REF!</v>
      </c>
      <c r="C10" s="13" t="e">
        <f>#REF!*A10</f>
        <v>#REF!</v>
      </c>
      <c r="D10" s="13" t="e">
        <f>#REF!*A10</f>
        <v>#REF!</v>
      </c>
      <c r="E10" s="68"/>
      <c r="F10" s="13" t="e">
        <f>C10</f>
        <v>#REF!</v>
      </c>
      <c r="G10" s="13" t="e">
        <f>D10</f>
        <v>#REF!</v>
      </c>
      <c r="H10" s="68"/>
      <c r="I10" s="13" t="e">
        <f>F10</f>
        <v>#REF!</v>
      </c>
      <c r="J10" s="13" t="e">
        <f>G10</f>
        <v>#REF!</v>
      </c>
      <c r="K10" s="68"/>
    </row>
    <row r="11" spans="1:11" x14ac:dyDescent="0.3">
      <c r="A11" s="387"/>
      <c r="B11" t="s">
        <v>53</v>
      </c>
      <c r="C11" s="13" t="e">
        <f>(-$C$8/#REF!)*Proforma!#REF!</f>
        <v>#REF!</v>
      </c>
      <c r="D11" s="13" t="e">
        <f>(-$C$8/#REF!)*Proforma!#REF!</f>
        <v>#REF!</v>
      </c>
      <c r="E11" s="68"/>
      <c r="F11" s="13" t="e">
        <f>(-$C$8/#REF!)*Proforma!#REF!</f>
        <v>#REF!</v>
      </c>
      <c r="G11" s="13" t="e">
        <f>(-$C$8/#REF!)*Proforma!#REF!</f>
        <v>#REF!</v>
      </c>
      <c r="H11" s="68"/>
      <c r="I11" s="13" t="e">
        <f>(-$C$8/#REF!)*Proforma!#REF!</f>
        <v>#REF!</v>
      </c>
      <c r="J11" s="13" t="e">
        <f>(-$C$8/#REF!)*Proforma!#REF!</f>
        <v>#REF!</v>
      </c>
      <c r="K11" s="68"/>
    </row>
    <row r="12" spans="1:11" x14ac:dyDescent="0.3">
      <c r="A12" s="387"/>
      <c r="B12" t="s">
        <v>54</v>
      </c>
      <c r="C12" s="13" t="e">
        <f>(-$C$8/#REF!)*Proforma!#REF!</f>
        <v>#REF!</v>
      </c>
      <c r="D12" s="13" t="e">
        <f>(-$C$8/#REF!)*Proforma!#REF!</f>
        <v>#REF!</v>
      </c>
      <c r="E12" s="68"/>
      <c r="F12" s="13" t="e">
        <f>(-$C$8/#REF!)*Proforma!#REF!</f>
        <v>#REF!</v>
      </c>
      <c r="G12" s="13" t="e">
        <f>(-$C$8/#REF!)*Proforma!#REF!</f>
        <v>#REF!</v>
      </c>
      <c r="H12" s="68"/>
      <c r="I12" s="13" t="e">
        <f>(-$C$8/#REF!)*Proforma!#REF!</f>
        <v>#REF!</v>
      </c>
      <c r="J12" s="13" t="e">
        <f>(-$C$8/#REF!)*Proforma!#REF!</f>
        <v>#REF!</v>
      </c>
      <c r="K12" s="68"/>
    </row>
    <row r="13" spans="1:11" x14ac:dyDescent="0.3">
      <c r="B13" t="s">
        <v>55</v>
      </c>
      <c r="C13" s="13" t="e">
        <f>Proforma!#REF!</f>
        <v>#REF!</v>
      </c>
      <c r="D13" s="13" t="e">
        <f>Proforma!#REF!</f>
        <v>#REF!</v>
      </c>
      <c r="E13" s="68"/>
      <c r="F13" s="13" t="e">
        <f>Proforma!#REF!</f>
        <v>#REF!</v>
      </c>
      <c r="G13" s="13" t="e">
        <f>Proforma!#REF!</f>
        <v>#REF!</v>
      </c>
      <c r="H13" s="68"/>
      <c r="I13" s="13" t="e">
        <f>Proforma!#REF!</f>
        <v>#REF!</v>
      </c>
      <c r="J13" s="13" t="e">
        <f>Proforma!#REF!</f>
        <v>#REF!</v>
      </c>
      <c r="K13" s="68"/>
    </row>
    <row r="14" spans="1:11" x14ac:dyDescent="0.3">
      <c r="B14" t="s">
        <v>56</v>
      </c>
      <c r="E14" s="34"/>
      <c r="H14" s="34"/>
      <c r="I14" s="62" t="e">
        <f>J14*#REF!</f>
        <v>#REF!</v>
      </c>
      <c r="J14" s="62" t="e">
        <f>-D8+A8*#REF!+#REF!</f>
        <v>#REF!</v>
      </c>
      <c r="K14" s="34"/>
    </row>
    <row r="15" spans="1:11" x14ac:dyDescent="0.3">
      <c r="E15" s="34"/>
      <c r="H15" s="34"/>
      <c r="K15" s="34"/>
    </row>
    <row r="16" spans="1:11" x14ac:dyDescent="0.3">
      <c r="E16" s="34"/>
      <c r="H16" s="34"/>
      <c r="K16" s="34"/>
    </row>
    <row r="17" spans="2:11" x14ac:dyDescent="0.3">
      <c r="B17" t="s">
        <v>58</v>
      </c>
      <c r="C17" s="62" t="e">
        <f>SUM(C8:C15)</f>
        <v>#REF!</v>
      </c>
      <c r="D17" s="62" t="e">
        <f>SUM(D8:D15)</f>
        <v>#REF!</v>
      </c>
      <c r="E17" s="34"/>
      <c r="F17" s="62" t="e">
        <f>SUM(F8:F15)</f>
        <v>#REF!</v>
      </c>
      <c r="G17" s="62" t="e">
        <f>SUM(G8:G15)</f>
        <v>#REF!</v>
      </c>
      <c r="H17" s="34"/>
      <c r="I17" s="62" t="e">
        <f>SUM(I8:I15)</f>
        <v>#REF!</v>
      </c>
      <c r="J17" s="62" t="e">
        <f>SUM(J8:J15)</f>
        <v>#REF!</v>
      </c>
      <c r="K17" s="34"/>
    </row>
    <row r="18" spans="2:11" x14ac:dyDescent="0.3">
      <c r="C18" s="62" t="e">
        <f>C17</f>
        <v>#REF!</v>
      </c>
      <c r="F18" s="62" t="e">
        <f>F17</f>
        <v>#REF!</v>
      </c>
      <c r="I18" s="62" t="e">
        <f>I17</f>
        <v>#REF!</v>
      </c>
    </row>
    <row r="20" spans="2:11" x14ac:dyDescent="0.3">
      <c r="B20" t="s">
        <v>51</v>
      </c>
      <c r="C20" s="71" t="e">
        <f>IRR(C18:K18)</f>
        <v>#VALUE!</v>
      </c>
    </row>
  </sheetData>
  <mergeCells count="9">
    <mergeCell ref="I6:J6"/>
    <mergeCell ref="C5:D5"/>
    <mergeCell ref="F5:G5"/>
    <mergeCell ref="I5:J5"/>
    <mergeCell ref="A1:B1"/>
    <mergeCell ref="A2:B2"/>
    <mergeCell ref="A11:A12"/>
    <mergeCell ref="C6:D6"/>
    <mergeCell ref="F6:G6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I12"/>
  <sheetViews>
    <sheetView workbookViewId="0"/>
  </sheetViews>
  <sheetFormatPr defaultColWidth="8.84375" defaultRowHeight="13.5" x14ac:dyDescent="0.3"/>
  <cols>
    <col min="2" max="2" width="16.15234375" bestFit="1" customWidth="1"/>
    <col min="3" max="3" width="10.4609375" customWidth="1"/>
    <col min="4" max="4" width="9.4609375" customWidth="1"/>
    <col min="5" max="5" width="9.84375" customWidth="1"/>
    <col min="6" max="6" width="9.4609375" customWidth="1"/>
    <col min="7" max="7" width="10.15234375" customWidth="1"/>
    <col min="9" max="9" width="10.61328125" bestFit="1" customWidth="1"/>
  </cols>
  <sheetData>
    <row r="3" spans="2:9" x14ac:dyDescent="0.3">
      <c r="B3" s="388" t="s">
        <v>18</v>
      </c>
      <c r="C3" s="389"/>
      <c r="D3" s="389"/>
      <c r="E3" s="389"/>
      <c r="F3" s="389"/>
      <c r="G3" s="390"/>
    </row>
    <row r="4" spans="2:9" x14ac:dyDescent="0.3">
      <c r="B4" s="7" t="s">
        <v>2</v>
      </c>
      <c r="C4" s="8" t="s">
        <v>11</v>
      </c>
      <c r="D4" s="8" t="s">
        <v>12</v>
      </c>
      <c r="E4" s="8" t="s">
        <v>13</v>
      </c>
      <c r="F4" s="8" t="s">
        <v>14</v>
      </c>
      <c r="G4" s="8" t="s">
        <v>15</v>
      </c>
    </row>
    <row r="5" spans="2:9" x14ac:dyDescent="0.3">
      <c r="B5" s="2" t="s">
        <v>4</v>
      </c>
      <c r="C5" s="3" t="s">
        <v>6</v>
      </c>
      <c r="D5" s="4" t="e">
        <f>#REF!</f>
        <v>#REF!</v>
      </c>
      <c r="E5" s="3" t="s">
        <v>6</v>
      </c>
      <c r="F5" s="3" t="s">
        <v>6</v>
      </c>
      <c r="G5" s="3" t="s">
        <v>6</v>
      </c>
    </row>
    <row r="6" spans="2:9" x14ac:dyDescent="0.3">
      <c r="B6" s="2" t="s">
        <v>17</v>
      </c>
      <c r="C6" s="3" t="s">
        <v>6</v>
      </c>
      <c r="D6" s="4" t="e">
        <f>#REF!</f>
        <v>#REF!</v>
      </c>
      <c r="E6" s="4" t="e">
        <f>#REF!</f>
        <v>#REF!</v>
      </c>
      <c r="F6" s="4" t="e">
        <f>#REF!</f>
        <v>#REF!</v>
      </c>
      <c r="G6" s="9" t="e">
        <f>#REF!</f>
        <v>#REF!</v>
      </c>
    </row>
    <row r="7" spans="2:9" x14ac:dyDescent="0.3">
      <c r="B7" s="2" t="s">
        <v>7</v>
      </c>
      <c r="C7" s="11" t="e">
        <f>#REF!*'LTV Calc'!C8</f>
        <v>#REF!</v>
      </c>
      <c r="D7" s="4" t="e">
        <f>C7+D6+D5</f>
        <v>#REF!</v>
      </c>
      <c r="E7" s="4" t="e">
        <f>D7+E6</f>
        <v>#REF!</v>
      </c>
      <c r="F7" s="4" t="e">
        <f>E7+F6</f>
        <v>#REF!</v>
      </c>
      <c r="G7" s="9" t="e">
        <f>F7+G6</f>
        <v>#REF!</v>
      </c>
    </row>
    <row r="8" spans="2:9" x14ac:dyDescent="0.3">
      <c r="B8" s="2" t="s">
        <v>16</v>
      </c>
      <c r="C8" s="11">
        <v>11000</v>
      </c>
      <c r="D8" s="4" t="e">
        <f>D7/#REF!</f>
        <v>#REF!</v>
      </c>
      <c r="E8" s="4" t="e">
        <f>E7/#REF!</f>
        <v>#REF!</v>
      </c>
      <c r="F8" s="4" t="e">
        <f>F7/#REF!</f>
        <v>#REF!</v>
      </c>
      <c r="G8" s="9" t="e">
        <f>G7/#REF!</f>
        <v>#REF!</v>
      </c>
    </row>
    <row r="9" spans="2:9" x14ac:dyDescent="0.3">
      <c r="B9" s="2" t="s">
        <v>10</v>
      </c>
      <c r="C9" s="3" t="s">
        <v>6</v>
      </c>
      <c r="D9" s="4" t="e">
        <f>#REF!</f>
        <v>#REF!</v>
      </c>
      <c r="E9" s="4" t="e">
        <f>#REF!</f>
        <v>#REF!</v>
      </c>
      <c r="F9" s="4" t="e">
        <f>#REF!</f>
        <v>#REF!</v>
      </c>
      <c r="G9" s="4" t="e">
        <f>#REF!</f>
        <v>#REF!</v>
      </c>
    </row>
    <row r="10" spans="2:9" x14ac:dyDescent="0.3">
      <c r="B10" s="5" t="s">
        <v>8</v>
      </c>
      <c r="C10" s="1" t="s">
        <v>9</v>
      </c>
      <c r="D10" s="6" t="e">
        <f>D9/D7</f>
        <v>#REF!</v>
      </c>
      <c r="E10" s="10" t="e">
        <f>E9/E7</f>
        <v>#REF!</v>
      </c>
      <c r="F10" s="6" t="e">
        <f>F9/F7</f>
        <v>#REF!</v>
      </c>
      <c r="G10" s="6" t="e">
        <f>G9/G7</f>
        <v>#REF!</v>
      </c>
    </row>
    <row r="11" spans="2:9" x14ac:dyDescent="0.3">
      <c r="B11" s="2" t="s">
        <v>1</v>
      </c>
      <c r="C11" s="3" t="s">
        <v>6</v>
      </c>
      <c r="D11" s="4" t="e">
        <f>D9/#REF!</f>
        <v>#REF!</v>
      </c>
      <c r="E11" s="4" t="e">
        <f>E9/#REF!</f>
        <v>#REF!</v>
      </c>
      <c r="F11" s="4" t="e">
        <f>F9/#REF!</f>
        <v>#REF!</v>
      </c>
      <c r="G11" s="4" t="e">
        <f>G9/#REF!</f>
        <v>#REF!</v>
      </c>
      <c r="I11" s="12"/>
    </row>
    <row r="12" spans="2:9" hidden="1" x14ac:dyDescent="0.3">
      <c r="B12" s="391"/>
      <c r="C12" s="392"/>
      <c r="D12" s="392"/>
      <c r="E12" s="392"/>
      <c r="F12" s="392"/>
      <c r="G12" s="393"/>
    </row>
  </sheetData>
  <mergeCells count="2">
    <mergeCell ref="B3:G3"/>
    <mergeCell ref="B12:G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AJ172"/>
  <sheetViews>
    <sheetView zoomScaleNormal="100" workbookViewId="0">
      <pane xSplit="1" ySplit="4" topLeftCell="B128" activePane="bottomRight" state="frozen"/>
      <selection pane="topRight" activeCell="B1" sqref="B1"/>
      <selection pane="bottomLeft" activeCell="A5" sqref="A5"/>
      <selection pane="bottomRight" activeCell="A128" sqref="A128"/>
    </sheetView>
  </sheetViews>
  <sheetFormatPr defaultColWidth="8.61328125" defaultRowHeight="15.5" x14ac:dyDescent="0.35"/>
  <cols>
    <col min="1" max="1" width="71.15234375" style="75" bestFit="1" customWidth="1"/>
    <col min="2" max="2" width="18.15234375" style="75" bestFit="1" customWidth="1"/>
    <col min="3" max="3" width="13.84375" style="75" bestFit="1" customWidth="1"/>
    <col min="4" max="4" width="1.61328125" style="174" customWidth="1"/>
    <col min="5" max="5" width="18.15234375" style="75" bestFit="1" customWidth="1"/>
    <col min="6" max="6" width="13.84375" style="75" bestFit="1" customWidth="1"/>
    <col min="7" max="7" width="1.61328125" style="174" customWidth="1"/>
    <col min="8" max="8" width="18.15234375" style="75" bestFit="1" customWidth="1"/>
    <col min="9" max="9" width="13.84375" style="75" bestFit="1" customWidth="1"/>
    <col min="10" max="10" width="1.61328125" style="174" customWidth="1"/>
    <col min="11" max="11" width="18.15234375" style="76" bestFit="1" customWidth="1"/>
    <col min="12" max="12" width="13.84375" style="76" bestFit="1" customWidth="1"/>
    <col min="13" max="13" width="1.61328125" style="175" customWidth="1"/>
    <col min="14" max="14" width="18.15234375" style="75" bestFit="1" customWidth="1"/>
    <col min="15" max="15" width="13.84375" style="75" bestFit="1" customWidth="1"/>
    <col min="16" max="16" width="1.61328125" style="174" customWidth="1"/>
    <col min="17" max="17" width="18.15234375" style="75" bestFit="1" customWidth="1"/>
    <col min="18" max="18" width="13.84375" style="75" bestFit="1" customWidth="1"/>
    <col min="19" max="19" width="1.61328125" style="174" customWidth="1"/>
    <col min="20" max="20" width="18.15234375" style="75" bestFit="1" customWidth="1"/>
    <col min="21" max="21" width="14.3828125" style="75" bestFit="1" customWidth="1"/>
    <col min="22" max="22" width="1.61328125" style="174" customWidth="1"/>
    <col min="23" max="23" width="18.15234375" style="75" bestFit="1" customWidth="1"/>
    <col min="24" max="24" width="13.84375" style="75" bestFit="1" customWidth="1"/>
    <col min="25" max="25" width="1.61328125" style="174" customWidth="1"/>
    <col min="26" max="26" width="18.15234375" style="75" bestFit="1" customWidth="1"/>
    <col min="27" max="27" width="13.84375" style="75" bestFit="1" customWidth="1"/>
    <col min="28" max="28" width="1.61328125" style="174" customWidth="1"/>
    <col min="29" max="29" width="18.15234375" style="75" bestFit="1" customWidth="1"/>
    <col min="30" max="30" width="13.84375" style="75" bestFit="1" customWidth="1"/>
    <col min="31" max="31" width="1.61328125" style="174" customWidth="1"/>
    <col min="32" max="32" width="18.15234375" style="75" bestFit="1" customWidth="1"/>
    <col min="33" max="33" width="14.3828125" style="75" bestFit="1" customWidth="1"/>
    <col min="34" max="34" width="1.61328125" style="174" customWidth="1"/>
    <col min="35" max="35" width="16.84375" style="77" bestFit="1" customWidth="1"/>
    <col min="36" max="16384" width="8.61328125" style="77"/>
  </cols>
  <sheetData>
    <row r="1" spans="1:36" x14ac:dyDescent="0.35">
      <c r="A1" s="127" t="str">
        <f>Assumptions!A1</f>
        <v>C5 Farming, LLC</v>
      </c>
      <c r="B1" s="74"/>
      <c r="AI1" s="96"/>
      <c r="AJ1" s="95" t="s">
        <v>70</v>
      </c>
    </row>
    <row r="2" spans="1:36" x14ac:dyDescent="0.35">
      <c r="A2" s="128" t="s">
        <v>123</v>
      </c>
      <c r="B2" s="74"/>
      <c r="AF2" s="375" t="s">
        <v>218</v>
      </c>
      <c r="AG2" s="375"/>
      <c r="AI2" s="97"/>
      <c r="AJ2" s="95" t="s">
        <v>71</v>
      </c>
    </row>
    <row r="3" spans="1:36" x14ac:dyDescent="0.35">
      <c r="A3" s="78"/>
      <c r="B3" s="373">
        <v>2021</v>
      </c>
      <c r="C3" s="373"/>
      <c r="D3" s="175"/>
      <c r="E3" s="373">
        <f>B3+1</f>
        <v>2022</v>
      </c>
      <c r="F3" s="373"/>
      <c r="G3" s="175"/>
      <c r="H3" s="373">
        <f>E3+1</f>
        <v>2023</v>
      </c>
      <c r="I3" s="373"/>
      <c r="J3" s="175"/>
      <c r="K3" s="373">
        <f>H3+1</f>
        <v>2024</v>
      </c>
      <c r="L3" s="373"/>
      <c r="N3" s="373">
        <f>K3+1</f>
        <v>2025</v>
      </c>
      <c r="O3" s="373"/>
      <c r="P3" s="175"/>
      <c r="Q3" s="373">
        <f>N3+1</f>
        <v>2026</v>
      </c>
      <c r="R3" s="373"/>
      <c r="S3" s="175"/>
      <c r="T3" s="373">
        <f>Q3+1</f>
        <v>2027</v>
      </c>
      <c r="U3" s="373"/>
      <c r="V3" s="175"/>
      <c r="W3" s="373">
        <f>T3+1</f>
        <v>2028</v>
      </c>
      <c r="X3" s="373"/>
      <c r="Y3" s="175"/>
      <c r="Z3" s="373">
        <f>W3+1</f>
        <v>2029</v>
      </c>
      <c r="AA3" s="373"/>
      <c r="AB3" s="175"/>
      <c r="AC3" s="373">
        <f>Z3+1</f>
        <v>2030</v>
      </c>
      <c r="AD3" s="373"/>
      <c r="AE3" s="175"/>
      <c r="AF3" s="373">
        <f>AC3+1</f>
        <v>2031</v>
      </c>
      <c r="AG3" s="373"/>
      <c r="AH3" s="175"/>
    </row>
    <row r="4" spans="1:36" x14ac:dyDescent="0.35">
      <c r="A4" s="78"/>
      <c r="B4" s="372">
        <v>0</v>
      </c>
      <c r="C4" s="372"/>
      <c r="D4" s="176"/>
      <c r="E4" s="372">
        <f>B4+1</f>
        <v>1</v>
      </c>
      <c r="F4" s="372"/>
      <c r="G4" s="175"/>
      <c r="H4" s="372">
        <f>E4+1</f>
        <v>2</v>
      </c>
      <c r="I4" s="372"/>
      <c r="J4" s="175"/>
      <c r="K4" s="372">
        <f>H4+1</f>
        <v>3</v>
      </c>
      <c r="L4" s="372"/>
      <c r="N4" s="372">
        <f>K4+1</f>
        <v>4</v>
      </c>
      <c r="O4" s="372"/>
      <c r="P4" s="175"/>
      <c r="Q4" s="372">
        <f>N4+1</f>
        <v>5</v>
      </c>
      <c r="R4" s="372"/>
      <c r="S4" s="175"/>
      <c r="T4" s="374">
        <f>Q4+1</f>
        <v>6</v>
      </c>
      <c r="U4" s="374"/>
      <c r="V4" s="175"/>
      <c r="W4" s="374">
        <f>T4+1</f>
        <v>7</v>
      </c>
      <c r="X4" s="374"/>
      <c r="Y4" s="175"/>
      <c r="Z4" s="374">
        <f>W4+1</f>
        <v>8</v>
      </c>
      <c r="AA4" s="374"/>
      <c r="AB4" s="175"/>
      <c r="AC4" s="374">
        <f>Z4+1</f>
        <v>9</v>
      </c>
      <c r="AD4" s="374"/>
      <c r="AE4" s="175"/>
      <c r="AF4" s="374">
        <v>10</v>
      </c>
      <c r="AG4" s="374"/>
      <c r="AH4" s="176"/>
    </row>
    <row r="5" spans="1:36" x14ac:dyDescent="0.35">
      <c r="A5" s="80"/>
      <c r="B5" s="74"/>
      <c r="C5" s="74"/>
      <c r="E5" s="74"/>
      <c r="F5" s="74"/>
      <c r="H5" s="74"/>
      <c r="I5" s="74"/>
      <c r="K5" s="78"/>
      <c r="L5" s="78"/>
      <c r="N5" s="74"/>
      <c r="O5" s="74"/>
      <c r="Q5" s="74"/>
      <c r="R5" s="74"/>
      <c r="T5" s="74"/>
      <c r="U5" s="74"/>
      <c r="W5" s="74"/>
      <c r="X5" s="74"/>
      <c r="Z5" s="74"/>
      <c r="AA5" s="74"/>
      <c r="AC5" s="74"/>
      <c r="AD5" s="74"/>
      <c r="AF5" s="77"/>
      <c r="AG5" s="77"/>
      <c r="AH5" s="181"/>
    </row>
    <row r="6" spans="1:36" x14ac:dyDescent="0.35">
      <c r="A6" s="87" t="s">
        <v>93</v>
      </c>
      <c r="B6" s="74"/>
      <c r="C6" s="81" t="s">
        <v>79</v>
      </c>
      <c r="E6" s="74"/>
      <c r="F6" s="81" t="s">
        <v>79</v>
      </c>
      <c r="H6" s="74"/>
      <c r="I6" s="81" t="s">
        <v>79</v>
      </c>
      <c r="K6" s="74"/>
      <c r="L6" s="81" t="s">
        <v>79</v>
      </c>
      <c r="N6" s="74"/>
      <c r="O6" s="81" t="s">
        <v>79</v>
      </c>
      <c r="Q6" s="74"/>
      <c r="R6" s="81" t="s">
        <v>79</v>
      </c>
      <c r="T6" s="74"/>
      <c r="U6" s="81" t="s">
        <v>79</v>
      </c>
      <c r="W6" s="74"/>
      <c r="X6" s="81" t="s">
        <v>79</v>
      </c>
      <c r="Z6" s="74"/>
      <c r="AA6" s="81" t="s">
        <v>79</v>
      </c>
      <c r="AC6" s="74"/>
      <c r="AD6" s="81" t="s">
        <v>79</v>
      </c>
      <c r="AF6" s="77"/>
      <c r="AG6" s="81" t="s">
        <v>79</v>
      </c>
      <c r="AH6" s="182"/>
    </row>
    <row r="7" spans="1:36" x14ac:dyDescent="0.35">
      <c r="A7" s="74" t="s">
        <v>63</v>
      </c>
      <c r="B7" s="351">
        <f>Assumptions!$C$52</f>
        <v>2500000</v>
      </c>
      <c r="C7" s="285">
        <f>B7/Assumptions!$C$7</f>
        <v>5133.4702258726902</v>
      </c>
      <c r="D7" s="286"/>
      <c r="E7" s="285">
        <f>B7-B26+E26+E33+E61+E94+E31+E32+SUM(B10:B14)-SUM(E10:E14)</f>
        <v>294219.8190972209</v>
      </c>
      <c r="F7" s="285">
        <f>IF(E4&gt;=Assumptions!$C$19,E7/(Assumptions!$C$7-Assumptions!$C$20),E7/Assumptions!$C$7)</f>
        <v>604.14747247889306</v>
      </c>
      <c r="G7" s="286"/>
      <c r="H7" s="285">
        <f>E7-E26+H26+H33+H61+H94+H31+H32+SUM(E10:E14)-SUM(H10:H14)</f>
        <v>301813.48322474211</v>
      </c>
      <c r="I7" s="285">
        <f>IF(H4&gt;=Assumptions!$C$19,H7/(Assumptions!$C$7-Assumptions!$C$20),H7/Assumptions!$C$7)</f>
        <v>619.74021196045612</v>
      </c>
      <c r="J7" s="286"/>
      <c r="K7" s="285">
        <f>H7-H26+K26+K33+K61+K94+K31+K32+SUM(H10:H14)-SUM(K10:K14)</f>
        <v>317894.13018622622</v>
      </c>
      <c r="L7" s="285">
        <f>IF(K4&gt;=Assumptions!$C$19,K7/(Assumptions!$C$7-Assumptions!$C$20),K7/Assumptions!$C$7)</f>
        <v>652.76002091627561</v>
      </c>
      <c r="M7" s="287"/>
      <c r="N7" s="285">
        <f>K7-K26+N26+N33+N61+N94+N31+N32+SUM(K10:K14)-SUM(N10:N14)</f>
        <v>344063.40104921535</v>
      </c>
      <c r="O7" s="285">
        <f>IF(N4&gt;=Assumptions!$C$19,N7/(Assumptions!$C$7-Assumptions!$C$20),N7/Assumptions!$C$7)</f>
        <v>706.49569003945658</v>
      </c>
      <c r="P7" s="286"/>
      <c r="Q7" s="285">
        <f>N7-N26+Q26+Q33+Q61+Q94+Q31+Q32+SUM(N10:N14)-SUM(Q10:Q14)</f>
        <v>372830.8186885342</v>
      </c>
      <c r="R7" s="285">
        <f>IF(Q4&gt;=Assumptions!$C$19,Q7/(Assumptions!$C$7-Assumptions!$C$20),Q7/Assumptions!$C$7)</f>
        <v>765.56636281013186</v>
      </c>
      <c r="S7" s="286"/>
      <c r="T7" s="285">
        <f>Q7-Q26+T26+T33+T61+T94+T31+T32+SUM(Q10:Q14)-SUM(T10:T14)</f>
        <v>423343.88975045457</v>
      </c>
      <c r="U7" s="285">
        <f>IF(T4&gt;=Assumptions!$C$19,T7/(Assumptions!$C$7-Assumptions!$C$20),T7/Assumptions!$C$7)</f>
        <v>1153.5255851511024</v>
      </c>
      <c r="V7" s="286"/>
      <c r="W7" s="285">
        <f>T7-T26+W26+W33+W61+W94+W31+W32+SUM(T10:T14)-SUM(W10:W14)</f>
        <v>480907.40604196116</v>
      </c>
      <c r="X7" s="285">
        <f>IF(W4&gt;=Assumptions!$C$19,W7/(Assumptions!$C$7-Assumptions!$C$20),W7/Assumptions!$C$7)</f>
        <v>1310.3744033840903</v>
      </c>
      <c r="Y7" s="286"/>
      <c r="Z7" s="285">
        <f>W7-W26+Z26+Z33+Z61+Z94+Z31+Z32+SUM(W10:W14)-SUM(Z10:Z14)</f>
        <v>511231.27856328525</v>
      </c>
      <c r="AA7" s="285">
        <f>IF(Z4&gt;=Assumptions!$C$19,Z7/(Assumptions!$C$7-Assumptions!$C$20),Z7/Assumptions!$C$7)</f>
        <v>1393.0007590280252</v>
      </c>
      <c r="AB7" s="286"/>
      <c r="AC7" s="285">
        <f>Z7-Z26+AC26+AC33+AC61+AC94+AC31+AC32+SUM(Z10:Z14)-SUM(AC10:AC14)</f>
        <v>542618.44406010583</v>
      </c>
      <c r="AD7" s="285">
        <f>IF(AC4&gt;=Assumptions!$C$19,AC7/(Assumptions!$C$7-Assumptions!$C$20),AC7/Assumptions!$C$7)</f>
        <v>1478.5243707359832</v>
      </c>
      <c r="AE7" s="286"/>
      <c r="AF7" s="285">
        <f>ROUND($AC$7-$AC$26+$AF$26+$AF$33+$AC$16-$AF$16+$AF$31+$AF$32,0)</f>
        <v>763044</v>
      </c>
      <c r="AG7" s="285">
        <f>IF(AF4&gt;=Assumptions!$C$19,AF7/(Assumptions!$C$7-Assumptions!$C$20),AF7/Assumptions!$C$7)</f>
        <v>2079.1389645776567</v>
      </c>
      <c r="AH7" s="286"/>
      <c r="AI7" s="288"/>
      <c r="AJ7" s="288"/>
    </row>
    <row r="8" spans="1:36" x14ac:dyDescent="0.35">
      <c r="A8" s="74" t="s">
        <v>95</v>
      </c>
      <c r="B8" s="249">
        <f>SUM(B7:B7)</f>
        <v>2500000</v>
      </c>
      <c r="C8" s="249">
        <f>SUM(C7:C7)</f>
        <v>5133.4702258726902</v>
      </c>
      <c r="D8" s="264"/>
      <c r="E8" s="249">
        <f>SUM(E7:E7)</f>
        <v>294219.8190972209</v>
      </c>
      <c r="F8" s="249">
        <f>SUM(F7:F7)</f>
        <v>604.14747247889306</v>
      </c>
      <c r="G8" s="264"/>
      <c r="H8" s="249">
        <f>SUM(H7:H7)</f>
        <v>301813.48322474211</v>
      </c>
      <c r="I8" s="249">
        <f>SUM(I7:I7)</f>
        <v>619.74021196045612</v>
      </c>
      <c r="J8" s="264"/>
      <c r="K8" s="249">
        <f>SUM(K7:K7)</f>
        <v>317894.13018622622</v>
      </c>
      <c r="L8" s="249">
        <f>SUM(L7:L7)</f>
        <v>652.76002091627561</v>
      </c>
      <c r="M8" s="265"/>
      <c r="N8" s="249">
        <f>SUM(N7:N7)</f>
        <v>344063.40104921535</v>
      </c>
      <c r="O8" s="249">
        <f>SUM(O7:O7)</f>
        <v>706.49569003945658</v>
      </c>
      <c r="P8" s="264"/>
      <c r="Q8" s="249">
        <f>SUM(Q7:Q7)</f>
        <v>372830.8186885342</v>
      </c>
      <c r="R8" s="249">
        <f>SUM(R7:R7)</f>
        <v>765.56636281013186</v>
      </c>
      <c r="S8" s="264"/>
      <c r="T8" s="249">
        <f>SUM(T7:T7)</f>
        <v>423343.88975045457</v>
      </c>
      <c r="U8" s="249">
        <f>SUM(U7:U7)</f>
        <v>1153.5255851511024</v>
      </c>
      <c r="V8" s="264"/>
      <c r="W8" s="249">
        <f>SUM(W7:W7)</f>
        <v>480907.40604196116</v>
      </c>
      <c r="X8" s="249">
        <f>SUM(X7:X7)</f>
        <v>1310.3744033840903</v>
      </c>
      <c r="Y8" s="264"/>
      <c r="Z8" s="249">
        <f>SUM(Z7:Z7)</f>
        <v>511231.27856328525</v>
      </c>
      <c r="AA8" s="249">
        <f>SUM(AA7:AA7)</f>
        <v>1393.0007590280252</v>
      </c>
      <c r="AB8" s="264"/>
      <c r="AC8" s="249">
        <f>SUM(AC7:AC7)</f>
        <v>542618.44406010583</v>
      </c>
      <c r="AD8" s="249">
        <f>SUM(AD7:AD7)</f>
        <v>1478.5243707359832</v>
      </c>
      <c r="AE8" s="264"/>
      <c r="AF8" s="249">
        <f>SUM(AF7:AF7)</f>
        <v>763044</v>
      </c>
      <c r="AG8" s="249">
        <f>SUM(AG7:AG7)</f>
        <v>2079.1389645776567</v>
      </c>
      <c r="AH8" s="178"/>
    </row>
    <row r="9" spans="1:36" x14ac:dyDescent="0.35">
      <c r="A9" s="74"/>
      <c r="B9" s="250"/>
      <c r="C9" s="250"/>
      <c r="D9" s="264"/>
      <c r="E9" s="250"/>
      <c r="F9" s="250"/>
      <c r="G9" s="264"/>
      <c r="H9" s="250"/>
      <c r="I9" s="250"/>
      <c r="J9" s="264"/>
      <c r="K9" s="250"/>
      <c r="L9" s="250"/>
      <c r="M9" s="265"/>
      <c r="N9" s="250"/>
      <c r="O9" s="250"/>
      <c r="P9" s="264"/>
      <c r="Q9" s="250"/>
      <c r="R9" s="250"/>
      <c r="S9" s="264"/>
      <c r="T9" s="250"/>
      <c r="U9" s="250"/>
      <c r="V9" s="264"/>
      <c r="W9" s="250"/>
      <c r="X9" s="250"/>
      <c r="Y9" s="264"/>
      <c r="Z9" s="250"/>
      <c r="AA9" s="250"/>
      <c r="AB9" s="264"/>
      <c r="AC9" s="250"/>
      <c r="AD9" s="250"/>
      <c r="AE9" s="264"/>
      <c r="AF9" s="250"/>
      <c r="AG9" s="250"/>
      <c r="AH9" s="177"/>
    </row>
    <row r="10" spans="1:36" x14ac:dyDescent="0.35">
      <c r="A10" s="74" t="s">
        <v>68</v>
      </c>
      <c r="B10" s="251">
        <f>Assumptions!C7*Proforma!C10</f>
        <v>9740000</v>
      </c>
      <c r="C10" s="258">
        <v>20000</v>
      </c>
      <c r="D10" s="264"/>
      <c r="E10" s="251">
        <f>IF(E4=Assumptions!$C$19+1,Proforma!B10-(Sale!$B$26*Sale!$B$8/SUM(Sale!$B$8:$B$9)),B10)</f>
        <v>9740000</v>
      </c>
      <c r="F10" s="251">
        <f>IF(E4&gt;=Assumptions!$C$19,E10/(Assumptions!$C$7-Assumptions!$C$20),E10/Assumptions!$C$7)</f>
        <v>20000</v>
      </c>
      <c r="G10" s="264"/>
      <c r="H10" s="251">
        <f>IF(H4=Assumptions!$C$19+1,Proforma!E10-(Sale!$B$26*Sale!$B$8/SUM(Sale!$B$8:$B$9)),E10)</f>
        <v>9740000</v>
      </c>
      <c r="I10" s="251">
        <f>IF(H4&gt;=Assumptions!$C$19,H10/(Assumptions!$C$7-Assumptions!$C$20),H10/Assumptions!$C$7)</f>
        <v>20000</v>
      </c>
      <c r="J10" s="264"/>
      <c r="K10" s="251">
        <f>IF(K4=Assumptions!$C$19+1,Proforma!H10-(Sale!$B$26*Sale!$B$8/SUM(Sale!$B$8:$B$9)),H10)</f>
        <v>9740000</v>
      </c>
      <c r="L10" s="251">
        <f>IF(K4&gt;=Assumptions!$C$19,K10/(Assumptions!$C$7-Assumptions!$C$20),K10/Assumptions!$C$7)</f>
        <v>20000</v>
      </c>
      <c r="M10" s="265"/>
      <c r="N10" s="251">
        <f>IF(N4=Assumptions!$C$19+1,Proforma!K10-(Sale!$B$26*Sale!$B$8/SUM(Sale!$B$8:$B$9)),K10)</f>
        <v>9740000</v>
      </c>
      <c r="O10" s="251">
        <f>IF(N4&gt;=Assumptions!$C$19,N10/(Assumptions!$C$7-Assumptions!$C$20),N10/Assumptions!$C$7)</f>
        <v>20000</v>
      </c>
      <c r="P10" s="264"/>
      <c r="Q10" s="251">
        <f>IF(Q4=Assumptions!$C$19+1,Proforma!N10-(Sale!$B$26*Sale!$B$8/SUM(Sale!$B$8:$B$9)),N10)</f>
        <v>9740000</v>
      </c>
      <c r="R10" s="251">
        <f>IF(Q4&gt;=Assumptions!$C$19,Q10/(Assumptions!$C$7-Assumptions!$C$20),Q10/Assumptions!$C$7)</f>
        <v>20000</v>
      </c>
      <c r="S10" s="264"/>
      <c r="T10" s="251">
        <f>IF(T4=Assumptions!$C$19,Proforma!Q10-(Sale!$B$26*Sale!$B$8/SUM(Sale!$B$8:$B$9)),Q10)</f>
        <v>7527450</v>
      </c>
      <c r="U10" s="251">
        <f>IF(T4&gt;=Assumptions!$C$19,T10/(Assumptions!$C$7-Assumptions!$C$20),T10/Assumptions!$C$7)</f>
        <v>20510.762942779293</v>
      </c>
      <c r="V10" s="264"/>
      <c r="W10" s="251">
        <f>IF(W4=Assumptions!$C$19,Proforma!T10-(Sale!$B$26*Sale!$B$8/SUM(Sale!$B$8:$B$9)),T10)</f>
        <v>7527450</v>
      </c>
      <c r="X10" s="251">
        <f>IF(W4&gt;=Assumptions!$C$19,W10/(Assumptions!$C$7-Assumptions!$C$20),W10/Assumptions!$C$7)</f>
        <v>20510.762942779293</v>
      </c>
      <c r="Y10" s="264"/>
      <c r="Z10" s="251">
        <f>IF(Z4=Assumptions!$C$19,Proforma!W10-(Sale!$B$26*Sale!$B$8/SUM(Sale!$B$8:$B$9)),W10)</f>
        <v>7527450</v>
      </c>
      <c r="AA10" s="251">
        <f>IF(Z4&gt;=Assumptions!$C$19,Z10/(Assumptions!$C$7-Assumptions!$C$20),Z10/Assumptions!$C$7)</f>
        <v>20510.762942779293</v>
      </c>
      <c r="AB10" s="264"/>
      <c r="AC10" s="251">
        <f>IF(AC4=Assumptions!$C$19,Proforma!Z10-(Sale!$B$26*Sale!$B$8/SUM(Sale!$B$8:$B$9)),Z10)</f>
        <v>7527450</v>
      </c>
      <c r="AD10" s="251">
        <f>IF(AC4&gt;=Assumptions!$C$19,AC10/(Assumptions!$C$7-Assumptions!$C$20),AC10/Assumptions!$C$7)</f>
        <v>20510.762942779293</v>
      </c>
      <c r="AE10" s="264"/>
      <c r="AF10" s="258">
        <v>0</v>
      </c>
      <c r="AG10" s="251">
        <f>IF(AF4&gt;=Assumptions!$C$19,AF10/(Assumptions!$C$7-Assumptions!$C$20),AF10/Assumptions!$C$7)</f>
        <v>0</v>
      </c>
      <c r="AH10" s="177"/>
    </row>
    <row r="11" spans="1:36" x14ac:dyDescent="0.35">
      <c r="A11" s="74" t="s">
        <v>219</v>
      </c>
      <c r="B11" s="251">
        <f>Assumptions!$C$34-Proforma!B10</f>
        <v>7585000</v>
      </c>
      <c r="C11" s="251">
        <f>B11/Assumptions!$C$7</f>
        <v>15574.948665297741</v>
      </c>
      <c r="D11" s="264"/>
      <c r="E11" s="251">
        <f>IF(E4=Assumptions!$C$19+1,Proforma!B11-(Sale!$B$26*Sale!$B$9/SUM(Sale!$B$8:$B$9)),B11)</f>
        <v>7585000</v>
      </c>
      <c r="F11" s="251">
        <f>IF(E4&gt;=Assumptions!$C$19,E11/(Assumptions!$C$7-Assumptions!$C$20),E11/Assumptions!$C$7)</f>
        <v>15574.948665297741</v>
      </c>
      <c r="G11" s="264"/>
      <c r="H11" s="251">
        <f>IF(H4=Assumptions!$C$19+1,Proforma!E11-(Sale!$B$26*Sale!$B$9/SUM(Sale!$B$8:$B$9)),E11)</f>
        <v>7585000</v>
      </c>
      <c r="I11" s="251">
        <f>IF(H4&gt;=Assumptions!$C$19,H11/(Assumptions!$C$7-Assumptions!$C$20),H11/Assumptions!$C$7)</f>
        <v>15574.948665297741</v>
      </c>
      <c r="J11" s="264"/>
      <c r="K11" s="251">
        <f>IF(K4=Assumptions!$C$19+1,Proforma!H11-(Sale!$B$26*Sale!$B$9/SUM(Sale!$B$8:$B$9)),H11)</f>
        <v>7585000</v>
      </c>
      <c r="L11" s="251">
        <f>IF(K4&gt;=Assumptions!$C$19,K11/(Assumptions!$C$7-Assumptions!$C$20),K11/Assumptions!$C$7)</f>
        <v>15574.948665297741</v>
      </c>
      <c r="M11" s="265"/>
      <c r="N11" s="251">
        <f>IF(N4=Assumptions!$C$19+1,Proforma!K11-(Sale!$B$26*Sale!$B$9/SUM(Sale!$B$8:$B$9)),K11)</f>
        <v>7585000</v>
      </c>
      <c r="O11" s="251">
        <f>IF(N4&gt;=Assumptions!$C$19,N11/(Assumptions!$C$7-Assumptions!$C$20),N11/Assumptions!$C$7)</f>
        <v>15574.948665297741</v>
      </c>
      <c r="P11" s="264"/>
      <c r="Q11" s="251">
        <f>IF(Q4=Assumptions!$C$19+1,Proforma!N11-(Sale!$B$26*Sale!$B$9/SUM(Sale!$B$8:$B$9)),N11)</f>
        <v>7585000</v>
      </c>
      <c r="R11" s="251">
        <f>IF(Q4&gt;=Assumptions!$C$19,Q11/(Assumptions!$C$7-Assumptions!$C$20),Q11/Assumptions!$C$7)</f>
        <v>15574.948665297741</v>
      </c>
      <c r="S11" s="264"/>
      <c r="T11" s="251">
        <f>IF(T4=Assumptions!$C$19,Proforma!Q11-(Sale!$B$26*Sale!$B$9/SUM(Sale!$B$8:$B$9)),Q11)</f>
        <v>5814960</v>
      </c>
      <c r="U11" s="251">
        <f>IF(T4&gt;=Assumptions!$C$19,T11/(Assumptions!$C$7-Assumptions!$C$20),T11/Assumptions!$C$7)</f>
        <v>15844.577656675749</v>
      </c>
      <c r="V11" s="264"/>
      <c r="W11" s="251">
        <f>IF(W4=Assumptions!$C$19,Proforma!T11-(Sale!$B$26*Sale!$B$9/SUM(Sale!$B$8:$B$9)),T11)</f>
        <v>5814960</v>
      </c>
      <c r="X11" s="251">
        <f>IF(W4&gt;=Assumptions!$C$19,W11/(Assumptions!$C$7-Assumptions!$C$20),W11/Assumptions!$C$7)</f>
        <v>15844.577656675749</v>
      </c>
      <c r="Y11" s="264"/>
      <c r="Z11" s="251">
        <f>IF(Z4=Assumptions!$C$19,Proforma!W11-(Sale!$B$26*Sale!$B$9/SUM(Sale!$B$8:$B$9)),W11)</f>
        <v>5814960</v>
      </c>
      <c r="AA11" s="251">
        <f>IF(Z4&gt;=Assumptions!$C$19,Z11/(Assumptions!$C$7-Assumptions!$C$20),Z11/Assumptions!$C$7)</f>
        <v>15844.577656675749</v>
      </c>
      <c r="AB11" s="264"/>
      <c r="AC11" s="251">
        <f>IF(AC4=Assumptions!$C$19,Proforma!Z11-(Sale!$B$26*Sale!$B$9/SUM(Sale!$B$8:$B$9)),Z11)</f>
        <v>5814960</v>
      </c>
      <c r="AD11" s="251">
        <f>IF(AC4&gt;=Assumptions!$C$19,AC11/(Assumptions!$C$7-Assumptions!$C$20),AC11/Assumptions!$C$7)</f>
        <v>15844.577656675749</v>
      </c>
      <c r="AE11" s="264"/>
      <c r="AF11" s="258">
        <v>0</v>
      </c>
      <c r="AG11" s="251">
        <f>IF(AF4&gt;=Assumptions!$C$19,AF11/(Assumptions!$C$7-Assumptions!$C$20),AF11/Assumptions!$C$7)</f>
        <v>0</v>
      </c>
      <c r="AH11" s="177"/>
    </row>
    <row r="12" spans="1:36" x14ac:dyDescent="0.35">
      <c r="A12" s="74" t="s">
        <v>72</v>
      </c>
      <c r="B12" s="251">
        <f>Assumptions!C37</f>
        <v>537075</v>
      </c>
      <c r="C12" s="251">
        <f>B12/Assumptions!$C$7</f>
        <v>1102.8234086242301</v>
      </c>
      <c r="D12" s="264"/>
      <c r="E12" s="251">
        <f>B12</f>
        <v>537075</v>
      </c>
      <c r="F12" s="251">
        <f>IF(E4&gt;=Assumptions!$C$19,E12/(Assumptions!$C$7-Assumptions!$C$20),E12/Assumptions!$C$7)</f>
        <v>1102.8234086242301</v>
      </c>
      <c r="G12" s="264"/>
      <c r="H12" s="251">
        <f>E12</f>
        <v>537075</v>
      </c>
      <c r="I12" s="251">
        <f>IF(H4&gt;=Assumptions!$C$19,H12/(Assumptions!$C$7-Assumptions!$C$20),H12/Assumptions!$C$7)</f>
        <v>1102.8234086242301</v>
      </c>
      <c r="J12" s="264"/>
      <c r="K12" s="251">
        <f>H12</f>
        <v>537075</v>
      </c>
      <c r="L12" s="251">
        <f>IF(K4&gt;=Assumptions!$C$19,K12/(Assumptions!$C$7-Assumptions!$C$20),K12/Assumptions!$C$7)</f>
        <v>1102.8234086242301</v>
      </c>
      <c r="M12" s="265"/>
      <c r="N12" s="251">
        <f>K12</f>
        <v>537075</v>
      </c>
      <c r="O12" s="251">
        <f>IF(N4&gt;=Assumptions!$C$19,N12/(Assumptions!$C$7-Assumptions!$C$20),N12/Assumptions!$C$7)</f>
        <v>1102.8234086242301</v>
      </c>
      <c r="P12" s="264"/>
      <c r="Q12" s="251">
        <f>N12</f>
        <v>537075</v>
      </c>
      <c r="R12" s="251">
        <f>IF(Q4&gt;=Assumptions!$C$19,Q12/(Assumptions!$C$7-Assumptions!$C$20),Q12/Assumptions!$C$7)</f>
        <v>1102.8234086242301</v>
      </c>
      <c r="S12" s="264"/>
      <c r="T12" s="251">
        <f>Q12</f>
        <v>537075</v>
      </c>
      <c r="U12" s="251">
        <f>IF(T4&gt;=Assumptions!$C$19,T12/(Assumptions!$C$7-Assumptions!$C$20),T12/Assumptions!$C$7)</f>
        <v>1463.4196185286103</v>
      </c>
      <c r="V12" s="264"/>
      <c r="W12" s="251">
        <f>T12</f>
        <v>537075</v>
      </c>
      <c r="X12" s="251">
        <f>IF(W4&gt;=Assumptions!$C$19,W12/(Assumptions!$C$7-Assumptions!$C$20),W12/Assumptions!$C$7)</f>
        <v>1463.4196185286103</v>
      </c>
      <c r="Y12" s="264"/>
      <c r="Z12" s="251">
        <f>W12</f>
        <v>537075</v>
      </c>
      <c r="AA12" s="251">
        <f>IF(Z4&gt;=Assumptions!$C$19,Z12/(Assumptions!$C$7-Assumptions!$C$20),Z12/Assumptions!$C$7)</f>
        <v>1463.4196185286103</v>
      </c>
      <c r="AB12" s="264"/>
      <c r="AC12" s="251">
        <f>Z12</f>
        <v>537075</v>
      </c>
      <c r="AD12" s="251">
        <f>IF(AC4&gt;=Assumptions!$C$19,AC12/(Assumptions!$C$7-Assumptions!$C$20),AC12/Assumptions!$C$7)</f>
        <v>1463.4196185286103</v>
      </c>
      <c r="AE12" s="264"/>
      <c r="AF12" s="258">
        <v>0</v>
      </c>
      <c r="AG12" s="251">
        <f>IF(AF4&gt;=Assumptions!$C$19,AF12/(Assumptions!$C$7-Assumptions!$C$20),AF12/Assumptions!$C$7)</f>
        <v>0</v>
      </c>
      <c r="AH12" s="177"/>
    </row>
    <row r="13" spans="1:36" x14ac:dyDescent="0.35">
      <c r="A13" s="74" t="s">
        <v>92</v>
      </c>
      <c r="B13" s="251">
        <f>Assumptions!C35</f>
        <v>86625</v>
      </c>
      <c r="C13" s="251">
        <f>B13/Assumptions!$C$7</f>
        <v>177.8747433264887</v>
      </c>
      <c r="D13" s="264"/>
      <c r="E13" s="251">
        <f>B13</f>
        <v>86625</v>
      </c>
      <c r="F13" s="251">
        <f>IF(E4&gt;=Assumptions!$C$19,E13/(Assumptions!$C$7-Assumptions!$C$20),E13/Assumptions!$C$7)</f>
        <v>177.8747433264887</v>
      </c>
      <c r="G13" s="264"/>
      <c r="H13" s="251">
        <f>E13</f>
        <v>86625</v>
      </c>
      <c r="I13" s="251">
        <f>IF(H4&gt;=Assumptions!$C$19,H13/(Assumptions!$C$7-Assumptions!$C$20),H13/Assumptions!$C$7)</f>
        <v>177.8747433264887</v>
      </c>
      <c r="J13" s="264"/>
      <c r="K13" s="251">
        <f>H13</f>
        <v>86625</v>
      </c>
      <c r="L13" s="251">
        <f>IF(K4&gt;=Assumptions!$C$19,K13/(Assumptions!$C$7-Assumptions!$C$20),K13/Assumptions!$C$7)</f>
        <v>177.8747433264887</v>
      </c>
      <c r="M13" s="265"/>
      <c r="N13" s="251">
        <f>K13</f>
        <v>86625</v>
      </c>
      <c r="O13" s="251">
        <f>IF(N4&gt;=Assumptions!$C$19,N13/(Assumptions!$C$7-Assumptions!$C$20),N13/Assumptions!$C$7)</f>
        <v>177.8747433264887</v>
      </c>
      <c r="P13" s="264"/>
      <c r="Q13" s="251">
        <f>N13</f>
        <v>86625</v>
      </c>
      <c r="R13" s="251">
        <f>IF(Q4&gt;=Assumptions!$C$19,Q13/(Assumptions!$C$7-Assumptions!$C$20),Q13/Assumptions!$C$7)</f>
        <v>177.8747433264887</v>
      </c>
      <c r="S13" s="264"/>
      <c r="T13" s="251">
        <f>Q13</f>
        <v>86625</v>
      </c>
      <c r="U13" s="251">
        <f>IF(T4&gt;=Assumptions!$C$19,T13/(Assumptions!$C$7-Assumptions!$C$20),T13/Assumptions!$C$7)</f>
        <v>236.03542234332426</v>
      </c>
      <c r="V13" s="264"/>
      <c r="W13" s="251">
        <f>T13</f>
        <v>86625</v>
      </c>
      <c r="X13" s="251">
        <f>IF(W4&gt;=Assumptions!$C$19,W13/(Assumptions!$C$7-Assumptions!$C$20),W13/Assumptions!$C$7)</f>
        <v>236.03542234332426</v>
      </c>
      <c r="Y13" s="264"/>
      <c r="Z13" s="251">
        <f>W13</f>
        <v>86625</v>
      </c>
      <c r="AA13" s="251">
        <f>IF(Z4&gt;=Assumptions!$C$19,Z13/(Assumptions!$C$7-Assumptions!$C$20),Z13/Assumptions!$C$7)</f>
        <v>236.03542234332426</v>
      </c>
      <c r="AB13" s="264"/>
      <c r="AC13" s="251">
        <f>Z13</f>
        <v>86625</v>
      </c>
      <c r="AD13" s="251">
        <f>IF(AC4&gt;=Assumptions!$C$19,AC13/(Assumptions!$C$7-Assumptions!$C$20),AC13/Assumptions!$C$7)</f>
        <v>236.03542234332426</v>
      </c>
      <c r="AE13" s="264"/>
      <c r="AF13" s="258">
        <v>0</v>
      </c>
      <c r="AG13" s="251">
        <f>IF(AF4&gt;=Assumptions!$C$19,AF13/(Assumptions!$C$7-Assumptions!$C$20),AF13/Assumptions!$C$7)</f>
        <v>0</v>
      </c>
      <c r="AH13" s="177"/>
    </row>
    <row r="14" spans="1:36" x14ac:dyDescent="0.35">
      <c r="A14" s="74" t="s">
        <v>94</v>
      </c>
      <c r="B14" s="251">
        <f>Assumptions!C36</f>
        <v>60000</v>
      </c>
      <c r="C14" s="251">
        <f>B14/Assumptions!$C$7</f>
        <v>123.20328542094455</v>
      </c>
      <c r="D14" s="264"/>
      <c r="E14" s="251">
        <f>B14</f>
        <v>60000</v>
      </c>
      <c r="F14" s="251">
        <f>IF(E4&gt;=Assumptions!$C$19,E14/(Assumptions!$C$7-Assumptions!$C$20),E14/Assumptions!$C$7)</f>
        <v>123.20328542094455</v>
      </c>
      <c r="G14" s="264"/>
      <c r="H14" s="251">
        <f>E14</f>
        <v>60000</v>
      </c>
      <c r="I14" s="251">
        <f>IF(H4&gt;=Assumptions!$C$19,H14/(Assumptions!$C$7-Assumptions!$C$20),H14/Assumptions!$C$7)</f>
        <v>123.20328542094455</v>
      </c>
      <c r="J14" s="264"/>
      <c r="K14" s="251">
        <f>H14</f>
        <v>60000</v>
      </c>
      <c r="L14" s="251">
        <f>IF(K4&gt;=Assumptions!$C$19,K14/(Assumptions!$C$7-Assumptions!$C$20),K14/Assumptions!$C$7)</f>
        <v>123.20328542094455</v>
      </c>
      <c r="M14" s="265"/>
      <c r="N14" s="251">
        <f>K14</f>
        <v>60000</v>
      </c>
      <c r="O14" s="251">
        <f>IF(N4&gt;=Assumptions!$C$19,N14/(Assumptions!$C$7-Assumptions!$C$20),N14/Assumptions!$C$7)</f>
        <v>123.20328542094455</v>
      </c>
      <c r="P14" s="264"/>
      <c r="Q14" s="251">
        <f>N14</f>
        <v>60000</v>
      </c>
      <c r="R14" s="251">
        <f>IF(Q4&gt;=Assumptions!$C$19,Q14/(Assumptions!$C$7-Assumptions!$C$20),Q14/Assumptions!$C$7)</f>
        <v>123.20328542094455</v>
      </c>
      <c r="S14" s="264"/>
      <c r="T14" s="251">
        <f>Q14</f>
        <v>60000</v>
      </c>
      <c r="U14" s="251">
        <f>IF(T4&gt;=Assumptions!$C$19,T14/(Assumptions!$C$7-Assumptions!$C$20),T14/Assumptions!$C$7)</f>
        <v>163.48773841961852</v>
      </c>
      <c r="V14" s="264"/>
      <c r="W14" s="251">
        <f>T14</f>
        <v>60000</v>
      </c>
      <c r="X14" s="251">
        <f>IF(W4&gt;=Assumptions!$C$19,W14/(Assumptions!$C$7-Assumptions!$C$20),W14/Assumptions!$C$7)</f>
        <v>163.48773841961852</v>
      </c>
      <c r="Y14" s="264"/>
      <c r="Z14" s="251">
        <f>W14</f>
        <v>60000</v>
      </c>
      <c r="AA14" s="251">
        <f>IF(Z4&gt;=Assumptions!$C$19,Z14/(Assumptions!$C$7-Assumptions!$C$20),Z14/Assumptions!$C$7)</f>
        <v>163.48773841961852</v>
      </c>
      <c r="AB14" s="264"/>
      <c r="AC14" s="251">
        <f>Z14</f>
        <v>60000</v>
      </c>
      <c r="AD14" s="251">
        <f>IF(AC4&gt;=Assumptions!$C$19,AC14/(Assumptions!$C$7-Assumptions!$C$20),AC14/Assumptions!$C$7)</f>
        <v>163.48773841961852</v>
      </c>
      <c r="AE14" s="264"/>
      <c r="AF14" s="258">
        <v>0</v>
      </c>
      <c r="AG14" s="251">
        <f>IF(AF4&gt;=Assumptions!$C$19,AF14/(Assumptions!$C$7-Assumptions!$C$20),AF14/Assumptions!$C$7)</f>
        <v>0</v>
      </c>
      <c r="AH14" s="177"/>
    </row>
    <row r="15" spans="1:36" x14ac:dyDescent="0.35">
      <c r="A15" s="74" t="s">
        <v>131</v>
      </c>
      <c r="B15" s="252">
        <v>0</v>
      </c>
      <c r="C15" s="251">
        <f>B15/Assumptions!$C$7</f>
        <v>0</v>
      </c>
      <c r="D15" s="266"/>
      <c r="E15" s="256">
        <f>-'Depreciation Deduction'!D8-'Depreciation Deduction'!D22</f>
        <v>-730500</v>
      </c>
      <c r="F15" s="251">
        <f>IF(E4&gt;=Assumptions!$C$19,E15/(Assumptions!$C$7-Assumptions!$C$20),E15/Assumptions!$C$7)</f>
        <v>-1500</v>
      </c>
      <c r="G15" s="266"/>
      <c r="H15" s="256">
        <f>-'Depreciation Deduction'!D9-'Depreciation Deduction'!D23</f>
        <v>-1461000</v>
      </c>
      <c r="I15" s="251">
        <f>IF(H4&gt;=Assumptions!$C$19,H15/(Assumptions!$C$7-Assumptions!$C$20),H15/Assumptions!$C$7)</f>
        <v>-3000</v>
      </c>
      <c r="J15" s="266"/>
      <c r="K15" s="256">
        <f>-'Depreciation Deduction'!D10-'Depreciation Deduction'!D24</f>
        <v>-2191500</v>
      </c>
      <c r="L15" s="251">
        <f>IF(K4&gt;=Assumptions!$C$19,K15/(Assumptions!$C$7-Assumptions!$C$20),K15/Assumptions!$C$7)</f>
        <v>-4500</v>
      </c>
      <c r="M15" s="267"/>
      <c r="N15" s="256">
        <f>-'Depreciation Deduction'!D11-'Depreciation Deduction'!D25</f>
        <v>-2922000</v>
      </c>
      <c r="O15" s="251">
        <f>IF(N4&gt;=Assumptions!$C$19,N15/(Assumptions!$C$7-Assumptions!$C$20),N15/Assumptions!$C$7)</f>
        <v>-6000</v>
      </c>
      <c r="P15" s="266"/>
      <c r="Q15" s="256">
        <f>-'Depreciation Deduction'!D12-'Depreciation Deduction'!D26</f>
        <v>-3652500</v>
      </c>
      <c r="R15" s="251">
        <f>IF(Q4&gt;=Assumptions!$C$19,Q15/(Assumptions!$C$7-Assumptions!$C$20),Q15/Assumptions!$C$7)</f>
        <v>-7500</v>
      </c>
      <c r="S15" s="266"/>
      <c r="T15" s="256">
        <f>-'Depreciation Deduction'!D13-'Depreciation Deduction'!D27</f>
        <v>-4383000</v>
      </c>
      <c r="U15" s="251">
        <f>IF(T4&gt;=Assumptions!$C$19,T15/(Assumptions!$C$7-Assumptions!$C$20),T15/Assumptions!$C$7)</f>
        <v>-11942.779291553134</v>
      </c>
      <c r="V15" s="264"/>
      <c r="W15" s="256">
        <f>-'Depreciation Deduction'!D14-'Depreciation Deduction'!D28</f>
        <v>-4933500</v>
      </c>
      <c r="X15" s="251">
        <f>IF(W4&gt;=Assumptions!$C$19,W15/(Assumptions!$C$7-Assumptions!$C$20),W15/Assumptions!$C$7)</f>
        <v>-13442.779291553134</v>
      </c>
      <c r="Y15" s="264"/>
      <c r="Z15" s="256">
        <f>-'Depreciation Deduction'!D15-'Depreciation Deduction'!D29</f>
        <v>-5484000</v>
      </c>
      <c r="AA15" s="251">
        <f>IF(Z4&gt;=Assumptions!$C$19,Z15/(Assumptions!$C$7-Assumptions!$C$20),Z15/Assumptions!$C$7)</f>
        <v>-14942.779291553134</v>
      </c>
      <c r="AB15" s="264"/>
      <c r="AC15" s="256">
        <f>-'Depreciation Deduction'!D16-'Depreciation Deduction'!D30</f>
        <v>-6034500</v>
      </c>
      <c r="AD15" s="251">
        <f>IF(AC4&gt;=Assumptions!$C$19,AC15/(Assumptions!$C$7-Assumptions!$C$20),AC15/Assumptions!$C$7)</f>
        <v>-16442.779291553132</v>
      </c>
      <c r="AE15" s="264"/>
      <c r="AF15" s="252">
        <v>0</v>
      </c>
      <c r="AG15" s="251">
        <f>IF(AF4&gt;=Assumptions!$C$19,AF15/(Assumptions!$C$7-Assumptions!$C$20),AF15/Assumptions!$C$7)</f>
        <v>0</v>
      </c>
      <c r="AH15" s="177"/>
    </row>
    <row r="16" spans="1:36" ht="31" x14ac:dyDescent="0.35">
      <c r="A16" s="86" t="s">
        <v>102</v>
      </c>
      <c r="B16" s="251">
        <f>SUM(B10:B15)</f>
        <v>18008700</v>
      </c>
      <c r="C16" s="249">
        <f>SUM(C10:C15)</f>
        <v>36978.850102669407</v>
      </c>
      <c r="D16" s="264"/>
      <c r="E16" s="251">
        <f>SUM(E10:E15)</f>
        <v>17278200</v>
      </c>
      <c r="F16" s="249">
        <f>SUM(F10:F15)</f>
        <v>35478.850102669407</v>
      </c>
      <c r="G16" s="264"/>
      <c r="H16" s="251">
        <f>SUM(H10:H15)</f>
        <v>16547700</v>
      </c>
      <c r="I16" s="249">
        <f>SUM(I10:I15)</f>
        <v>33978.850102669407</v>
      </c>
      <c r="J16" s="264"/>
      <c r="K16" s="251">
        <f>SUM(K10:K15)</f>
        <v>15817200</v>
      </c>
      <c r="L16" s="249">
        <f>SUM(L10:L15)</f>
        <v>32478.850102669407</v>
      </c>
      <c r="M16" s="265"/>
      <c r="N16" s="251">
        <f>SUM(N10:N15)</f>
        <v>15086700</v>
      </c>
      <c r="O16" s="249">
        <f>SUM(O10:O15)</f>
        <v>30978.850102669407</v>
      </c>
      <c r="P16" s="264"/>
      <c r="Q16" s="251">
        <f>SUM(Q10:Q15)</f>
        <v>14356200</v>
      </c>
      <c r="R16" s="249">
        <f>SUM(R10:R15)</f>
        <v>29478.850102669407</v>
      </c>
      <c r="S16" s="264"/>
      <c r="T16" s="251">
        <f>SUM(T10:T15)</f>
        <v>9643110</v>
      </c>
      <c r="U16" s="249">
        <f>SUM(U10:U15)</f>
        <v>26275.504087193462</v>
      </c>
      <c r="V16" s="264"/>
      <c r="W16" s="251">
        <f>SUM(W10:W15)</f>
        <v>9092610</v>
      </c>
      <c r="X16" s="249">
        <f>SUM(X10:X15)</f>
        <v>24775.504087193462</v>
      </c>
      <c r="Y16" s="264"/>
      <c r="Z16" s="251">
        <f>SUM(Z10:Z15)</f>
        <v>8542110</v>
      </c>
      <c r="AA16" s="249">
        <f>SUM(AA10:AA15)</f>
        <v>23275.504087193462</v>
      </c>
      <c r="AB16" s="264"/>
      <c r="AC16" s="251">
        <f>SUM(AC10:AC15)</f>
        <v>7991610</v>
      </c>
      <c r="AD16" s="249">
        <f>SUM(AD10:AD15)</f>
        <v>21775.504087193462</v>
      </c>
      <c r="AE16" s="264"/>
      <c r="AF16" s="251">
        <f>SUM(AF10:AF15)</f>
        <v>0</v>
      </c>
      <c r="AG16" s="249">
        <f>SUM(AG10:AG15)</f>
        <v>0</v>
      </c>
      <c r="AH16" s="178"/>
    </row>
    <row r="17" spans="1:34" x14ac:dyDescent="0.35">
      <c r="A17" s="74"/>
      <c r="B17" s="250"/>
      <c r="C17" s="250"/>
      <c r="D17" s="264"/>
      <c r="E17" s="250"/>
      <c r="F17" s="250"/>
      <c r="G17" s="264"/>
      <c r="H17" s="250"/>
      <c r="I17" s="250"/>
      <c r="J17" s="264"/>
      <c r="K17" s="250"/>
      <c r="L17" s="250"/>
      <c r="M17" s="265"/>
      <c r="N17" s="250"/>
      <c r="O17" s="250"/>
      <c r="P17" s="264"/>
      <c r="Q17" s="250"/>
      <c r="R17" s="250"/>
      <c r="S17" s="264"/>
      <c r="T17" s="250"/>
      <c r="U17" s="250"/>
      <c r="V17" s="264"/>
      <c r="W17" s="250"/>
      <c r="X17" s="250"/>
      <c r="Y17" s="264"/>
      <c r="Z17" s="250"/>
      <c r="AA17" s="250"/>
      <c r="AB17" s="264"/>
      <c r="AC17" s="250"/>
      <c r="AD17" s="250"/>
      <c r="AE17" s="264"/>
      <c r="AF17" s="250"/>
      <c r="AG17" s="250"/>
      <c r="AH17" s="177"/>
    </row>
    <row r="18" spans="1:34" ht="16" thickBot="1" x14ac:dyDescent="0.4">
      <c r="A18" s="87" t="s">
        <v>64</v>
      </c>
      <c r="B18" s="253">
        <f>B8+B16</f>
        <v>20508700</v>
      </c>
      <c r="C18" s="253">
        <f>B18/Assumptions!$C$7</f>
        <v>42112.320328542097</v>
      </c>
      <c r="D18" s="268"/>
      <c r="E18" s="253">
        <f>E8+E16</f>
        <v>17572419.819097221</v>
      </c>
      <c r="F18" s="253">
        <f>F8+F16</f>
        <v>36082.9975751483</v>
      </c>
      <c r="G18" s="268"/>
      <c r="H18" s="253">
        <f>H8+H16</f>
        <v>16849513.483224742</v>
      </c>
      <c r="I18" s="253">
        <f>I8+I16</f>
        <v>34598.590314629866</v>
      </c>
      <c r="J18" s="268"/>
      <c r="K18" s="253">
        <f>K8+K16</f>
        <v>16135094.130186226</v>
      </c>
      <c r="L18" s="253">
        <f>L8+L16</f>
        <v>33131.610123585684</v>
      </c>
      <c r="M18" s="269"/>
      <c r="N18" s="253">
        <f>N8+N16</f>
        <v>15430763.401049215</v>
      </c>
      <c r="O18" s="253">
        <f>O8+O16</f>
        <v>31685.345792708864</v>
      </c>
      <c r="P18" s="268"/>
      <c r="Q18" s="253">
        <f>Q8+Q16</f>
        <v>14729030.818688534</v>
      </c>
      <c r="R18" s="253">
        <f>R8+R16</f>
        <v>30244.416465479539</v>
      </c>
      <c r="S18" s="268"/>
      <c r="T18" s="253">
        <f>T8+T16</f>
        <v>10066453.889750455</v>
      </c>
      <c r="U18" s="253">
        <f>U8+U16</f>
        <v>27429.029672344564</v>
      </c>
      <c r="V18" s="268"/>
      <c r="W18" s="253">
        <f>W8+W16</f>
        <v>9573517.4060419612</v>
      </c>
      <c r="X18" s="253">
        <f>X8+X16</f>
        <v>26085.878490577554</v>
      </c>
      <c r="Y18" s="268"/>
      <c r="Z18" s="253">
        <f>Z8+Z16</f>
        <v>9053341.2785632852</v>
      </c>
      <c r="AA18" s="253">
        <f>AA8+AA16</f>
        <v>24668.504846221487</v>
      </c>
      <c r="AB18" s="268"/>
      <c r="AC18" s="253">
        <f>ROUND(AC8+AC16,0)</f>
        <v>8534228</v>
      </c>
      <c r="AD18" s="253">
        <f>AD8+AD16</f>
        <v>23254.028457929446</v>
      </c>
      <c r="AE18" s="268"/>
      <c r="AF18" s="253">
        <f>ROUND(AF8+AF16,0)</f>
        <v>763044</v>
      </c>
      <c r="AG18" s="253">
        <f>AG8+AG16</f>
        <v>2079.1389645776567</v>
      </c>
      <c r="AH18" s="178"/>
    </row>
    <row r="19" spans="1:34" ht="16" thickTop="1" x14ac:dyDescent="0.35">
      <c r="A19" s="74"/>
      <c r="B19" s="250"/>
      <c r="C19" s="250"/>
      <c r="D19" s="264"/>
      <c r="E19" s="250"/>
      <c r="F19" s="250"/>
      <c r="G19" s="264"/>
      <c r="H19" s="250"/>
      <c r="I19" s="250"/>
      <c r="J19" s="264"/>
      <c r="K19" s="250"/>
      <c r="L19" s="250"/>
      <c r="M19" s="265"/>
      <c r="N19" s="250"/>
      <c r="O19" s="250"/>
      <c r="P19" s="264"/>
      <c r="Q19" s="250"/>
      <c r="R19" s="250"/>
      <c r="S19" s="264"/>
      <c r="T19" s="250"/>
      <c r="U19" s="250"/>
      <c r="V19" s="264"/>
      <c r="W19" s="250"/>
      <c r="X19" s="250"/>
      <c r="Y19" s="264"/>
      <c r="Z19" s="250"/>
      <c r="AA19" s="250"/>
      <c r="AB19" s="264"/>
      <c r="AC19" s="250"/>
      <c r="AD19" s="250"/>
      <c r="AE19" s="264"/>
      <c r="AF19" s="250"/>
      <c r="AG19" s="250"/>
      <c r="AH19" s="177"/>
    </row>
    <row r="20" spans="1:34" x14ac:dyDescent="0.35">
      <c r="A20" s="74" t="s">
        <v>103</v>
      </c>
      <c r="B20" s="254">
        <v>0</v>
      </c>
      <c r="C20" s="270">
        <f>B20/Assumptions!$C$7</f>
        <v>0</v>
      </c>
      <c r="D20" s="264"/>
      <c r="E20" s="270">
        <f>'Loan Ammortization'!$E$7</f>
        <v>252886.5957129056</v>
      </c>
      <c r="F20" s="270">
        <f>IF(E4&gt;=Assumptions!$C$19,E20/(Assumptions!$C$7-Assumptions!$C$20),E20/Assumptions!$C$7)</f>
        <v>519.27432384580209</v>
      </c>
      <c r="G20" s="264"/>
      <c r="H20" s="270">
        <f>'Loan Ammortization'!$E$8</f>
        <v>261105.41007357501</v>
      </c>
      <c r="I20" s="270">
        <f>IF(H4&gt;=Assumptions!$C$19,H20/(Assumptions!$C$7-Assumptions!$C$20),H20/Assumptions!$C$7)</f>
        <v>536.15073937079057</v>
      </c>
      <c r="J20" s="264"/>
      <c r="K20" s="270">
        <f>'Loan Ammortization'!$E$9</f>
        <v>269591.33590096619</v>
      </c>
      <c r="L20" s="270">
        <f>IF(K4&gt;=Assumptions!$C$19,K20/(Assumptions!$C$7-Assumptions!$C$20),K20/Assumptions!$C$7)</f>
        <v>553.57563840034129</v>
      </c>
      <c r="M20" s="265"/>
      <c r="N20" s="270">
        <f>'Loan Ammortization'!$E$10</f>
        <v>278353.05431774765</v>
      </c>
      <c r="O20" s="270">
        <f>IF(N4&gt;=Assumptions!$C$19,N20/(Assumptions!$C$7-Assumptions!$C$20),N20/Assumptions!$C$7)</f>
        <v>571.56684664835245</v>
      </c>
      <c r="P20" s="264"/>
      <c r="Q20" s="270">
        <f>'Loan Ammortization'!$E$11</f>
        <v>287399.5285830744</v>
      </c>
      <c r="R20" s="270">
        <f>IF(Q4&gt;=Assumptions!$C$19,Q20/(Assumptions!$C$7-Assumptions!$C$20),Q20/Assumptions!$C$7)</f>
        <v>590.14276916442384</v>
      </c>
      <c r="S20" s="264"/>
      <c r="T20" s="270">
        <f>'Loan Ammortization'!$E$12</f>
        <v>296740.01326202438</v>
      </c>
      <c r="U20" s="270">
        <f>IF(T4&gt;=Assumptions!$C$19,T20/(Assumptions!$C$7-Assumptions!$C$20),T20/Assumptions!$C$7)</f>
        <v>808.55589444693294</v>
      </c>
      <c r="V20" s="264"/>
      <c r="W20" s="270">
        <f>'Loan Ammortization'!$E$13</f>
        <v>306384.06369304011</v>
      </c>
      <c r="X20" s="270">
        <f>IF(W4&gt;=Assumptions!$C$19,W20/(Assumptions!$C$7-Assumptions!$C$20),W20/Assumptions!$C$7)</f>
        <v>834.83396101645803</v>
      </c>
      <c r="Y20" s="264"/>
      <c r="Z20" s="270">
        <f>'Loan Ammortization'!$E$14</f>
        <v>316341.54576306388</v>
      </c>
      <c r="AA20" s="270">
        <f>IF(Z4&gt;=Assumptions!$C$19,Z20/(Assumptions!$C$7-Assumptions!$C$20),Z20/Assumptions!$C$7)</f>
        <v>861.96606474949283</v>
      </c>
      <c r="AB20" s="264"/>
      <c r="AC20" s="270">
        <f>'Loan Ammortization'!$E$15</f>
        <v>326622.64600036351</v>
      </c>
      <c r="AD20" s="270">
        <f>IF(AC4&gt;=Assumptions!$C$19,AC20/(Assumptions!$C$7-Assumptions!$C$20),AC20/Assumptions!$C$7)</f>
        <v>889.97996185385159</v>
      </c>
      <c r="AE20" s="264"/>
      <c r="AF20" s="254">
        <v>0</v>
      </c>
      <c r="AG20" s="270">
        <f>IF(AF4&gt;=Assumptions!$C$19,AF20/(Assumptions!$C$7-Assumptions!$C$20),AF20/Assumptions!$C$7)</f>
        <v>0</v>
      </c>
      <c r="AH20" s="177"/>
    </row>
    <row r="21" spans="1:34" x14ac:dyDescent="0.35">
      <c r="A21" s="74" t="s">
        <v>270</v>
      </c>
      <c r="B21" s="251">
        <f>'Line of Credit'!D7</f>
        <v>0</v>
      </c>
      <c r="C21" s="251">
        <f>B21/Assumptions!$C$7</f>
        <v>0</v>
      </c>
      <c r="D21" s="264"/>
      <c r="E21" s="251">
        <f>'Line of Credit'!D8</f>
        <v>24950</v>
      </c>
      <c r="F21" s="251">
        <f>IF(E4&gt;=Assumptions!$C$19,E21/(Assumptions!$C$7-Assumptions!$C$20),E21/Assumptions!$C$7)</f>
        <v>51.232032854209443</v>
      </c>
      <c r="G21" s="264"/>
      <c r="H21" s="251">
        <f>'Line of Credit'!D9</f>
        <v>24950</v>
      </c>
      <c r="I21" s="251">
        <f>IF(H4&gt;=Assumptions!$C$19,H21/(Assumptions!$C$7-Assumptions!$C$20),H21/Assumptions!$C$7)</f>
        <v>51.232032854209443</v>
      </c>
      <c r="J21" s="264"/>
      <c r="K21" s="251">
        <f>'Line of Credit'!D10</f>
        <v>24950</v>
      </c>
      <c r="L21" s="251">
        <f>IF(K4&gt;=Assumptions!$C$19,K21/(Assumptions!$C$7-Assumptions!$C$20),K21/Assumptions!$C$7)</f>
        <v>51.232032854209443</v>
      </c>
      <c r="M21" s="265"/>
      <c r="N21" s="251">
        <f>'Line of Credit'!D11</f>
        <v>24950</v>
      </c>
      <c r="O21" s="251">
        <f>IF(N4&gt;=Assumptions!$C$19,N21/(Assumptions!$C$7-Assumptions!$C$20),N21/Assumptions!$C$7)</f>
        <v>51.232032854209443</v>
      </c>
      <c r="P21" s="264"/>
      <c r="Q21" s="251">
        <f>'Line of Credit'!D12</f>
        <v>24950</v>
      </c>
      <c r="R21" s="251">
        <f>IF(Q4&gt;=Assumptions!$C$19,Q21/(Assumptions!$C$7-Assumptions!$C$20),Q21/Assumptions!$C$7)</f>
        <v>51.232032854209443</v>
      </c>
      <c r="S21" s="264"/>
      <c r="T21" s="251">
        <f>'Line of Credit'!D13</f>
        <v>24950</v>
      </c>
      <c r="U21" s="251">
        <f>IF(T4&gt;=Assumptions!$C$19,T21/(Assumptions!$C$7-Assumptions!$C$20),T21/Assumptions!$C$7)</f>
        <v>67.983651226158045</v>
      </c>
      <c r="V21" s="264"/>
      <c r="W21" s="251">
        <f>'Line of Credit'!D14</f>
        <v>24950</v>
      </c>
      <c r="X21" s="251">
        <f>IF(W4&gt;=Assumptions!$C$19,W21/(Assumptions!$C$7-Assumptions!$C$20),W21/Assumptions!$C$7)</f>
        <v>67.983651226158045</v>
      </c>
      <c r="Y21" s="264"/>
      <c r="Z21" s="251">
        <f>'Line of Credit'!D15</f>
        <v>24950</v>
      </c>
      <c r="AA21" s="251">
        <f>IF(Z4&gt;=Assumptions!$C$19,Z21/(Assumptions!$C$7-Assumptions!$C$20),Z21/Assumptions!$C$7)</f>
        <v>67.983651226158045</v>
      </c>
      <c r="AB21" s="264"/>
      <c r="AC21" s="251">
        <f>'Line of Credit'!D16</f>
        <v>24950</v>
      </c>
      <c r="AD21" s="251">
        <f>IF(AC4&gt;=Assumptions!$C$19,AC21/(Assumptions!$C$7-Assumptions!$C$20),AC21/Assumptions!$C$7)</f>
        <v>67.983651226158045</v>
      </c>
      <c r="AE21" s="264"/>
      <c r="AF21" s="258">
        <v>0</v>
      </c>
      <c r="AG21" s="251">
        <f>IF(AF4&gt;=Assumptions!$C$19,AF21/(Assumptions!$C$7-Assumptions!$C$20),AF21/Assumptions!$C$7)</f>
        <v>0</v>
      </c>
      <c r="AH21" s="177"/>
    </row>
    <row r="22" spans="1:34" x14ac:dyDescent="0.35">
      <c r="A22" s="74" t="s">
        <v>96</v>
      </c>
      <c r="B22" s="249">
        <f>SUM(B20:B21)</f>
        <v>0</v>
      </c>
      <c r="C22" s="249">
        <f>SUM(C20:C21)</f>
        <v>0</v>
      </c>
      <c r="D22" s="264"/>
      <c r="E22" s="249">
        <f>SUM(E20:E21)</f>
        <v>277836.59571290563</v>
      </c>
      <c r="F22" s="249">
        <f>SUM(F20:F21)</f>
        <v>570.50635670001157</v>
      </c>
      <c r="G22" s="264"/>
      <c r="H22" s="249">
        <f>SUM(H20:H21)</f>
        <v>286055.41007357498</v>
      </c>
      <c r="I22" s="249">
        <f>SUM(I20:I21)</f>
        <v>587.38277222500005</v>
      </c>
      <c r="J22" s="264"/>
      <c r="K22" s="249">
        <f>SUM(K20:K21)</f>
        <v>294541.33590096619</v>
      </c>
      <c r="L22" s="249">
        <f>SUM(L20:L21)</f>
        <v>604.80767125455077</v>
      </c>
      <c r="M22" s="265"/>
      <c r="N22" s="249">
        <f>SUM(N20:N21)</f>
        <v>303303.05431774765</v>
      </c>
      <c r="O22" s="249">
        <f>SUM(O20:O21)</f>
        <v>622.79887950256193</v>
      </c>
      <c r="P22" s="264"/>
      <c r="Q22" s="249">
        <f>SUM(Q20:Q21)</f>
        <v>312349.5285830744</v>
      </c>
      <c r="R22" s="249">
        <f>SUM(R20:R21)</f>
        <v>641.37480201863332</v>
      </c>
      <c r="S22" s="264"/>
      <c r="T22" s="249">
        <f>SUM(T20:T21)</f>
        <v>321690.01326202438</v>
      </c>
      <c r="U22" s="249">
        <f>SUM(U20:U21)</f>
        <v>876.53954567309097</v>
      </c>
      <c r="V22" s="264"/>
      <c r="W22" s="249">
        <f>SUM(W20:W21)</f>
        <v>331334.06369304011</v>
      </c>
      <c r="X22" s="249">
        <f>SUM(X20:X21)</f>
        <v>902.81761224261606</v>
      </c>
      <c r="Y22" s="264"/>
      <c r="Z22" s="249">
        <f>SUM(Z20:Z21)</f>
        <v>341291.54576306388</v>
      </c>
      <c r="AA22" s="249">
        <f>SUM(AA20:AA21)</f>
        <v>929.94971597565086</v>
      </c>
      <c r="AB22" s="264"/>
      <c r="AC22" s="249">
        <f>SUM(AC20:AC21)</f>
        <v>351572.64600036351</v>
      </c>
      <c r="AD22" s="249">
        <f>SUM(AD20:AD21)</f>
        <v>957.96361308000962</v>
      </c>
      <c r="AE22" s="264"/>
      <c r="AF22" s="249">
        <f>SUM(AF20:AF21)</f>
        <v>0</v>
      </c>
      <c r="AG22" s="249">
        <f>SUM(AG20:AG21)</f>
        <v>0</v>
      </c>
      <c r="AH22" s="178"/>
    </row>
    <row r="23" spans="1:34" x14ac:dyDescent="0.35">
      <c r="A23" s="74"/>
      <c r="B23" s="255"/>
      <c r="C23" s="255"/>
      <c r="D23" s="264"/>
      <c r="E23" s="255"/>
      <c r="F23" s="255"/>
      <c r="G23" s="264"/>
      <c r="H23" s="255"/>
      <c r="I23" s="255"/>
      <c r="J23" s="264"/>
      <c r="K23" s="255"/>
      <c r="L23" s="255"/>
      <c r="M23" s="265"/>
      <c r="N23" s="255"/>
      <c r="O23" s="255"/>
      <c r="P23" s="264"/>
      <c r="Q23" s="255"/>
      <c r="R23" s="255"/>
      <c r="S23" s="264"/>
      <c r="T23" s="255"/>
      <c r="U23" s="255"/>
      <c r="V23" s="264"/>
      <c r="W23" s="255"/>
      <c r="X23" s="255"/>
      <c r="Y23" s="264"/>
      <c r="Z23" s="255"/>
      <c r="AA23" s="255"/>
      <c r="AB23" s="264"/>
      <c r="AC23" s="255"/>
      <c r="AD23" s="255"/>
      <c r="AE23" s="264"/>
      <c r="AF23" s="255"/>
      <c r="AG23" s="255"/>
      <c r="AH23" s="178"/>
    </row>
    <row r="24" spans="1:34" x14ac:dyDescent="0.35">
      <c r="A24" s="74" t="s">
        <v>101</v>
      </c>
      <c r="B24" s="256">
        <f>'Loan Ammortization'!C7</f>
        <v>9528750</v>
      </c>
      <c r="C24" s="251">
        <f>B24/Assumptions!$C$7</f>
        <v>19566.221765913757</v>
      </c>
      <c r="D24" s="264"/>
      <c r="E24" s="256">
        <f>'Loan Ammortization'!G7</f>
        <v>9275863.4042870943</v>
      </c>
      <c r="F24" s="251">
        <f>IF(E4&gt;=Assumptions!$C$19,E24/(Assumptions!$C$7-Assumptions!$C$20),E24/Assumptions!$C$7)</f>
        <v>19046.947442067954</v>
      </c>
      <c r="G24" s="264"/>
      <c r="H24" s="256">
        <f>'Loan Ammortization'!G8</f>
        <v>9014757.9942135196</v>
      </c>
      <c r="I24" s="251">
        <f>IF(H4&gt;=Assumptions!$C$19,H24/(Assumptions!$C$7-Assumptions!$C$20),H24/Assumptions!$C$7)</f>
        <v>18510.796702697167</v>
      </c>
      <c r="J24" s="264"/>
      <c r="K24" s="256">
        <f>'Loan Ammortization'!G9</f>
        <v>8745166.6583125535</v>
      </c>
      <c r="L24" s="251">
        <f>IF(K4&gt;=Assumptions!$C$19,K24/(Assumptions!$C$7-Assumptions!$C$20),K24/Assumptions!$C$7)</f>
        <v>17957.221064296824</v>
      </c>
      <c r="M24" s="265"/>
      <c r="N24" s="256">
        <f>'Loan Ammortization'!G10</f>
        <v>8466813.6039948054</v>
      </c>
      <c r="O24" s="251">
        <f>IF(N4&gt;=Assumptions!$C$19,N24/(Assumptions!$C$7-Assumptions!$C$20),N24/Assumptions!$C$7)</f>
        <v>17385.654217648473</v>
      </c>
      <c r="P24" s="264"/>
      <c r="Q24" s="256">
        <f>'Loan Ammortization'!G11</f>
        <v>8179414.0754117314</v>
      </c>
      <c r="R24" s="251">
        <f>IF(Q4&gt;=Assumptions!$C$19,Q24/(Assumptions!$C$7-Assumptions!$C$20),Q24/Assumptions!$C$7)</f>
        <v>16795.511448484049</v>
      </c>
      <c r="S24" s="264"/>
      <c r="T24" s="256">
        <f>'Loan Ammortization'!G$12</f>
        <v>7882674.0621497072</v>
      </c>
      <c r="U24" s="251">
        <f>IF(T4&gt;=Assumptions!$C$19,T24/(Assumptions!$C$7-Assumptions!$C$20),T24/Assumptions!$C$7)</f>
        <v>21478.675918664052</v>
      </c>
      <c r="V24" s="264"/>
      <c r="W24" s="256">
        <f>'Loan Ammortization'!$G$13</f>
        <v>7576289.9984566672</v>
      </c>
      <c r="X24" s="251">
        <f>IF(W4&gt;=Assumptions!$C$19,W24/(Assumptions!$C$7-Assumptions!$C$20),W24/Assumptions!$C$7)</f>
        <v>20643.841957647594</v>
      </c>
      <c r="Y24" s="264"/>
      <c r="Z24" s="256">
        <f>'Loan Ammortization'!$G$14</f>
        <v>7259948.452693603</v>
      </c>
      <c r="AA24" s="251">
        <f>IF(Z4&gt;=Assumptions!$C$19,Z24/(Assumptions!$C$7-Assumptions!$C$20),Z24/Assumptions!$C$7)</f>
        <v>19781.875892898101</v>
      </c>
      <c r="AB24" s="264"/>
      <c r="AC24" s="256">
        <f>'Loan Ammortization'!$G$15</f>
        <v>6933325.8066932391</v>
      </c>
      <c r="AD24" s="251">
        <f>IF(AC4&gt;=Assumptions!$C$19,AC24/(Assumptions!$C$7-Assumptions!$C$20),AC24/Assumptions!$C$7)</f>
        <v>18891.895931044248</v>
      </c>
      <c r="AE24" s="264"/>
      <c r="AF24" s="252">
        <v>0</v>
      </c>
      <c r="AG24" s="251">
        <f>IF(AF4&gt;=Assumptions!$C$19,AF24/(Assumptions!$C$7-Assumptions!$C$20),AF24/Assumptions!$C$7)</f>
        <v>0</v>
      </c>
      <c r="AH24" s="177"/>
    </row>
    <row r="25" spans="1:34" x14ac:dyDescent="0.35">
      <c r="A25" s="74"/>
      <c r="B25" s="257"/>
      <c r="C25" s="255"/>
      <c r="D25" s="264"/>
      <c r="E25" s="257"/>
      <c r="F25" s="255"/>
      <c r="G25" s="264"/>
      <c r="H25" s="257"/>
      <c r="I25" s="255"/>
      <c r="J25" s="264"/>
      <c r="K25" s="257"/>
      <c r="L25" s="255"/>
      <c r="M25" s="265"/>
      <c r="N25" s="257"/>
      <c r="O25" s="255"/>
      <c r="P25" s="264"/>
      <c r="Q25" s="257"/>
      <c r="R25" s="255"/>
      <c r="S25" s="264"/>
      <c r="T25" s="257"/>
      <c r="U25" s="255"/>
      <c r="V25" s="264"/>
      <c r="W25" s="257"/>
      <c r="X25" s="255"/>
      <c r="Y25" s="264"/>
      <c r="Z25" s="257"/>
      <c r="AA25" s="255"/>
      <c r="AB25" s="264"/>
      <c r="AC25" s="257"/>
      <c r="AD25" s="255"/>
      <c r="AE25" s="264"/>
      <c r="AF25" s="257"/>
      <c r="AG25" s="255"/>
      <c r="AH25" s="178"/>
    </row>
    <row r="26" spans="1:34" x14ac:dyDescent="0.35">
      <c r="A26" s="74" t="s">
        <v>97</v>
      </c>
      <c r="B26" s="256">
        <f>B22+SUM(B24:B25)</f>
        <v>9528750</v>
      </c>
      <c r="C26" s="271">
        <f>B26/Assumptions!$C$7</f>
        <v>19566.221765913757</v>
      </c>
      <c r="D26" s="268"/>
      <c r="E26" s="256">
        <f>E22+SUM(E24:E25)</f>
        <v>9553700</v>
      </c>
      <c r="F26" s="251">
        <f>IF(E4&gt;=Assumptions!$C$19,E26/(Assumptions!$C$7-Assumptions!$C$20),E26/Assumptions!$C$7)</f>
        <v>19617.453798767969</v>
      </c>
      <c r="G26" s="268"/>
      <c r="H26" s="256">
        <f>H22+SUM(H24:H25)</f>
        <v>9300813.4042870943</v>
      </c>
      <c r="I26" s="251">
        <f>IF(H4&gt;=Assumptions!$C$19,H26/(Assumptions!$C$7-Assumptions!$C$20),H26/Assumptions!$C$7)</f>
        <v>19098.179474922166</v>
      </c>
      <c r="J26" s="268"/>
      <c r="K26" s="256">
        <f>K22+SUM(K24:K25)</f>
        <v>9039707.9942135196</v>
      </c>
      <c r="L26" s="251">
        <f>IF(K4&gt;=Assumptions!$C$19,K26/(Assumptions!$C$7-Assumptions!$C$20),K26/Assumptions!$C$7)</f>
        <v>18562.028735551376</v>
      </c>
      <c r="M26" s="269"/>
      <c r="N26" s="256">
        <f>N22+SUM(N24:N25)</f>
        <v>8770116.6583125535</v>
      </c>
      <c r="O26" s="251">
        <f>IF(N4&gt;=Assumptions!$C$19,N26/(Assumptions!$C$7-Assumptions!$C$20),N26/Assumptions!$C$7)</f>
        <v>18008.453097151036</v>
      </c>
      <c r="P26" s="268"/>
      <c r="Q26" s="256">
        <f>Q22+SUM(Q24:Q25)</f>
        <v>8491763.6039948054</v>
      </c>
      <c r="R26" s="251">
        <f>IF(Q4&gt;=Assumptions!$C$19,Q26/(Assumptions!$C$7-Assumptions!$C$20),Q26/Assumptions!$C$7)</f>
        <v>17436.886250502681</v>
      </c>
      <c r="S26" s="268"/>
      <c r="T26" s="256">
        <f>T22+SUM(T24:T25)</f>
        <v>8204364.0754117314</v>
      </c>
      <c r="U26" s="251">
        <f>IF(T4&gt;=Assumptions!$C$19,T26/(Assumptions!$C$7-Assumptions!$C$20),T26/Assumptions!$C$7)</f>
        <v>22355.215464337143</v>
      </c>
      <c r="V26" s="268"/>
      <c r="W26" s="256">
        <f>W22+SUM(W24:W25)</f>
        <v>7907624.0621497072</v>
      </c>
      <c r="X26" s="251">
        <f>IF(W4&gt;=Assumptions!$C$19,W26/(Assumptions!$C$7-Assumptions!$C$20),W26/Assumptions!$C$7)</f>
        <v>21546.659569890209</v>
      </c>
      <c r="Y26" s="268"/>
      <c r="Z26" s="256">
        <f>Z22+SUM(Z24:Z25)</f>
        <v>7601239.9984566672</v>
      </c>
      <c r="AA26" s="251">
        <f>IF(Z4&gt;=Assumptions!$C$19,Z26/(Assumptions!$C$7-Assumptions!$C$20),Z26/Assumptions!$C$7)</f>
        <v>20711.825608873751</v>
      </c>
      <c r="AB26" s="268"/>
      <c r="AC26" s="256">
        <f>AC22+SUM(AC24:AC25)</f>
        <v>7284898.452693603</v>
      </c>
      <c r="AD26" s="251">
        <f>IF(AC4&gt;=Assumptions!$C$19,AC26/(Assumptions!$C$7-Assumptions!$C$20),AC26/Assumptions!$C$7)</f>
        <v>19849.859544124258</v>
      </c>
      <c r="AE26" s="268"/>
      <c r="AF26" s="256">
        <f>AF22+SUM(AF24:AF25)</f>
        <v>0</v>
      </c>
      <c r="AG26" s="251">
        <f>IF(AF4&gt;=Assumptions!$C$19,AF26/(Assumptions!$C$7-Assumptions!$C$20),AF26/Assumptions!$C$7)</f>
        <v>0</v>
      </c>
      <c r="AH26" s="178"/>
    </row>
    <row r="27" spans="1:34" x14ac:dyDescent="0.35">
      <c r="A27" s="74"/>
      <c r="B27" s="250"/>
      <c r="C27" s="255"/>
      <c r="D27" s="264"/>
      <c r="E27" s="250"/>
      <c r="F27" s="255"/>
      <c r="G27" s="264"/>
      <c r="H27" s="250"/>
      <c r="I27" s="255"/>
      <c r="J27" s="264"/>
      <c r="K27" s="250"/>
      <c r="L27" s="255"/>
      <c r="M27" s="265"/>
      <c r="N27" s="250"/>
      <c r="O27" s="255"/>
      <c r="P27" s="264"/>
      <c r="Q27" s="250"/>
      <c r="R27" s="255"/>
      <c r="S27" s="264"/>
      <c r="T27" s="250"/>
      <c r="U27" s="255"/>
      <c r="V27" s="264"/>
      <c r="W27" s="250"/>
      <c r="X27" s="255"/>
      <c r="Y27" s="264"/>
      <c r="Z27" s="250"/>
      <c r="AA27" s="255"/>
      <c r="AB27" s="264"/>
      <c r="AC27" s="250"/>
      <c r="AD27" s="255"/>
      <c r="AE27" s="264"/>
      <c r="AF27" s="250"/>
      <c r="AG27" s="255"/>
      <c r="AH27" s="178"/>
    </row>
    <row r="28" spans="1:34" x14ac:dyDescent="0.35">
      <c r="A28" s="74" t="s">
        <v>98</v>
      </c>
      <c r="B28" s="258">
        <v>0</v>
      </c>
      <c r="C28" s="251">
        <f>B28/Assumptions!$C$7</f>
        <v>0</v>
      </c>
      <c r="D28" s="264"/>
      <c r="E28" s="251">
        <f>B34</f>
        <v>10955000</v>
      </c>
      <c r="F28" s="251">
        <f>IF(E4&gt;=Assumptions!$C$19,E28/(Assumptions!$C$7-Assumptions!$C$20),E28/Assumptions!$C$7)</f>
        <v>22494.866529774128</v>
      </c>
      <c r="G28" s="264"/>
      <c r="H28" s="251">
        <f>E34</f>
        <v>7993769.8190972228</v>
      </c>
      <c r="I28" s="251">
        <f>IF(H4&gt;=Assumptions!$C$19,H28/(Assumptions!$C$7-Assumptions!$C$20),H28/Assumptions!$C$7)</f>
        <v>16414.311743526127</v>
      </c>
      <c r="J28" s="264"/>
      <c r="K28" s="251">
        <f>H34</f>
        <v>7523750.0789376497</v>
      </c>
      <c r="L28" s="251">
        <f>IF(K4&gt;=Assumptions!$C$19,K28/(Assumptions!$C$7-Assumptions!$C$20),K28/Assumptions!$C$7)</f>
        <v>15449.17880685349</v>
      </c>
      <c r="M28" s="265"/>
      <c r="N28" s="251">
        <f>K34</f>
        <v>7070436.1359727075</v>
      </c>
      <c r="O28" s="251">
        <f>IF(N4&gt;=Assumptions!$C$19,N28/(Assumptions!$C$7-Assumptions!$C$20),N28/Assumptions!$C$7)</f>
        <v>14518.349355180098</v>
      </c>
      <c r="P28" s="264"/>
      <c r="Q28" s="251">
        <f>N34</f>
        <v>6635696.7427366627</v>
      </c>
      <c r="R28" s="251">
        <f>IF(Q4&gt;=Assumptions!$C$19,Q28/(Assumptions!$C$7-Assumptions!$C$20),Q28/Assumptions!$C$7)</f>
        <v>13625.66066270362</v>
      </c>
      <c r="S28" s="264"/>
      <c r="T28" s="251">
        <f>Q34</f>
        <v>6212317.2146937298</v>
      </c>
      <c r="U28" s="251">
        <f>IF(T4&gt;=Assumptions!$C$19,T28/(Assumptions!$C$7-Assumptions!$C$20),T28/Assumptions!$C$7)</f>
        <v>16927.294862925693</v>
      </c>
      <c r="V28" s="264"/>
      <c r="W28" s="251">
        <f>T34</f>
        <v>1837139.8143387251</v>
      </c>
      <c r="X28" s="251">
        <f>IF(W4&gt;=Assumptions!$C$19,W28/(Assumptions!$C$7-Assumptions!$C$20),W28/Assumptions!$C$7)</f>
        <v>5005.8305567812668</v>
      </c>
      <c r="Y28" s="264"/>
      <c r="Z28" s="251">
        <f>W34</f>
        <v>1640943.3438922565</v>
      </c>
      <c r="AA28" s="251">
        <f>IF(Z4&gt;=Assumptions!$C$19,Z28/(Assumptions!$C$7-Assumptions!$C$20),Z28/Assumptions!$C$7)</f>
        <v>4471.2352694611891</v>
      </c>
      <c r="AB28" s="264"/>
      <c r="AC28" s="251">
        <f>Z34</f>
        <v>1427151.2801066199</v>
      </c>
      <c r="AD28" s="251">
        <f>IF(AC4&gt;=Assumptions!$C$19,AC28/(Assumptions!$C$7-Assumptions!$C$20),AC28/Assumptions!$C$7)</f>
        <v>3888.6955861215802</v>
      </c>
      <c r="AE28" s="264"/>
      <c r="AF28" s="251">
        <f>ROUND(AC34,0)</f>
        <v>1224380</v>
      </c>
      <c r="AG28" s="251">
        <f>IF(AF4&gt;=Assumptions!$C$19,AF28/(Assumptions!$C$7-Assumptions!$C$20),AF28/Assumptions!$C$7)</f>
        <v>3336.1852861035422</v>
      </c>
      <c r="AH28" s="177"/>
    </row>
    <row r="29" spans="1:34" x14ac:dyDescent="0.35">
      <c r="A29" s="74" t="s">
        <v>234</v>
      </c>
      <c r="B29" s="251">
        <f>Assumptions!$C$27</f>
        <v>10955000</v>
      </c>
      <c r="C29" s="251">
        <f>B29/Assumptions!$C$7</f>
        <v>22494.866529774128</v>
      </c>
      <c r="D29" s="264"/>
      <c r="E29" s="258">
        <v>0</v>
      </c>
      <c r="F29" s="251">
        <f>IF(E4&gt;=Assumptions!$C$19,E29/(Assumptions!$C$7-Assumptions!$C$20),E29/Assumptions!$C$7)</f>
        <v>0</v>
      </c>
      <c r="G29" s="264"/>
      <c r="H29" s="258">
        <v>0</v>
      </c>
      <c r="I29" s="251">
        <f>IF(H4&gt;=Assumptions!$C$19,H29/(Assumptions!$C$7-Assumptions!$C$20),H29/Assumptions!$C$7)</f>
        <v>0</v>
      </c>
      <c r="J29" s="264"/>
      <c r="K29" s="258">
        <v>0</v>
      </c>
      <c r="L29" s="251">
        <f>IF(K4&gt;=Assumptions!$C$19,K29/(Assumptions!$C$7-Assumptions!$C$20),K29/Assumptions!$C$7)</f>
        <v>0</v>
      </c>
      <c r="M29" s="265"/>
      <c r="N29" s="258">
        <v>0</v>
      </c>
      <c r="O29" s="251">
        <f>IF(N4&gt;=Assumptions!$C$19,N29/(Assumptions!$C$7-Assumptions!$C$20),N29/Assumptions!$C$7)</f>
        <v>0</v>
      </c>
      <c r="P29" s="264"/>
      <c r="Q29" s="258">
        <v>0</v>
      </c>
      <c r="R29" s="251">
        <f>IF(Q4&gt;=Assumptions!$C$19,Q29/(Assumptions!$C$7-Assumptions!$C$20),Q29/Assumptions!$C$7)</f>
        <v>0</v>
      </c>
      <c r="S29" s="264"/>
      <c r="T29" s="258">
        <v>0</v>
      </c>
      <c r="U29" s="251">
        <f>IF(T4&gt;=Assumptions!$C$19,T29/(Assumptions!$C$7-Assumptions!$C$20),T29/Assumptions!$C$7)</f>
        <v>0</v>
      </c>
      <c r="V29" s="264"/>
      <c r="W29" s="258">
        <v>0</v>
      </c>
      <c r="X29" s="251">
        <f>IF(W4&gt;=Assumptions!$C$19,W29/(Assumptions!$C$7-Assumptions!$C$20),W29/Assumptions!$C$7)</f>
        <v>0</v>
      </c>
      <c r="Y29" s="264"/>
      <c r="Z29" s="258">
        <v>0</v>
      </c>
      <c r="AA29" s="251">
        <f>IF(Z4&gt;=Assumptions!$C$19,Z29/(Assumptions!$C$7-Assumptions!$C$20),Z29/Assumptions!$C$7)</f>
        <v>0</v>
      </c>
      <c r="AB29" s="264"/>
      <c r="AC29" s="258">
        <v>0</v>
      </c>
      <c r="AD29" s="251">
        <f>IF(AC4&gt;=Assumptions!$C$19,AC29/(Assumptions!$C$7-Assumptions!$C$20),AC29/Assumptions!$C$7)</f>
        <v>0</v>
      </c>
      <c r="AE29" s="264"/>
      <c r="AF29" s="258">
        <v>0</v>
      </c>
      <c r="AG29" s="251">
        <f>IF(AF4&gt;=Assumptions!$C$19,AF29/(Assumptions!$C$7-Assumptions!$C$20),AF29/Assumptions!$C$7)</f>
        <v>0</v>
      </c>
      <c r="AH29" s="177"/>
    </row>
    <row r="30" spans="1:34" x14ac:dyDescent="0.35">
      <c r="A30" s="74" t="s">
        <v>238</v>
      </c>
      <c r="B30" s="257"/>
      <c r="C30" s="257"/>
      <c r="D30" s="264"/>
      <c r="E30" s="257"/>
      <c r="F30" s="257"/>
      <c r="G30" s="264"/>
      <c r="H30" s="257"/>
      <c r="I30" s="257"/>
      <c r="J30" s="264"/>
      <c r="K30" s="257"/>
      <c r="L30" s="257"/>
      <c r="M30" s="265"/>
      <c r="N30" s="257"/>
      <c r="O30" s="257"/>
      <c r="P30" s="264"/>
      <c r="Q30" s="257"/>
      <c r="R30" s="257"/>
      <c r="S30" s="264"/>
      <c r="T30" s="257"/>
      <c r="U30" s="257"/>
      <c r="V30" s="264"/>
      <c r="W30" s="257"/>
      <c r="X30" s="257"/>
      <c r="Y30" s="264"/>
      <c r="Z30" s="257"/>
      <c r="AA30" s="257"/>
      <c r="AB30" s="264"/>
      <c r="AC30" s="257"/>
      <c r="AD30" s="257"/>
      <c r="AE30" s="264"/>
      <c r="AF30" s="257"/>
      <c r="AG30" s="257"/>
      <c r="AH30" s="177"/>
    </row>
    <row r="31" spans="1:34" x14ac:dyDescent="0.35">
      <c r="A31" s="120" t="s">
        <v>232</v>
      </c>
      <c r="B31" s="251">
        <f>-B151</f>
        <v>0</v>
      </c>
      <c r="C31" s="251">
        <f>B31/Assumptions!$C$7</f>
        <v>0</v>
      </c>
      <c r="D31" s="264"/>
      <c r="E31" s="251">
        <f>-E158</f>
        <v>0</v>
      </c>
      <c r="F31" s="251">
        <f>IF(E4&gt;=Assumptions!$C$19,E31/(Assumptions!$C$7-Assumptions!$C$20),E31/Assumptions!$C$7)</f>
        <v>0</v>
      </c>
      <c r="G31" s="264"/>
      <c r="H31" s="251">
        <f>-H158</f>
        <v>-477661.53419598902</v>
      </c>
      <c r="I31" s="251">
        <f>IF(H4&gt;=Assumptions!$C$19,H31/(Assumptions!$C$7-Assumptions!$C$20),H31/Assumptions!$C$7)</f>
        <v>-980.82450553591173</v>
      </c>
      <c r="J31" s="264"/>
      <c r="K31" s="251">
        <f>-K158</f>
        <v>-616998.80372806301</v>
      </c>
      <c r="L31" s="251">
        <f>IF(K4&gt;=Assumptions!$C$19,K31/(Assumptions!$C$7-Assumptions!$C$20),K31/Assumptions!$C$7)</f>
        <v>-1266.9379953348316</v>
      </c>
      <c r="M31" s="265"/>
      <c r="N31" s="251">
        <f>-N158</f>
        <v>-656283.61246679816</v>
      </c>
      <c r="O31" s="251">
        <f>IF(N4&gt;=Assumptions!$C$19,N31/(Assumptions!$C$7-Assumptions!$C$20),N31/Assumptions!$C$7)</f>
        <v>-1347.6049537305917</v>
      </c>
      <c r="P31" s="264"/>
      <c r="Q31" s="251">
        <f>-Q158</f>
        <v>-720465.06620555185</v>
      </c>
      <c r="R31" s="251">
        <f>IF(Q4&gt;=Assumptions!$C$19,Q31/(Assumptions!$C$7-Assumptions!$C$20),Q31/Assumptions!$C$7)</f>
        <v>-1479.3943864590387</v>
      </c>
      <c r="S31" s="264"/>
      <c r="T31" s="251">
        <f>-T158</f>
        <v>-4737234.894781597</v>
      </c>
      <c r="U31" s="251">
        <f>IF(T4&gt;=Assumptions!$C$19,T31/(Assumptions!$C$7-Assumptions!$C$20),T31/Assumptions!$C$7)</f>
        <v>-12907.996988505714</v>
      </c>
      <c r="V31" s="264"/>
      <c r="W31" s="251">
        <f>-W158</f>
        <v>-1234408.5399149957</v>
      </c>
      <c r="X31" s="251">
        <f>IF(W4&gt;=Assumptions!$C$19,W31/(Assumptions!$C$7-Assumptions!$C$20),W31/Assumptions!$C$7)</f>
        <v>-3363.5110079427673</v>
      </c>
      <c r="Y31" s="264"/>
      <c r="Z31" s="251">
        <f>-Z158</f>
        <v>-542048.04587056919</v>
      </c>
      <c r="AA31" s="251">
        <f>IF(Z4&gt;=Assumptions!$C$19,Z31/(Assumptions!$C$7-Assumptions!$C$20),Z31/Assumptions!$C$7)</f>
        <v>-1476.9701522358832</v>
      </c>
      <c r="AB31" s="264"/>
      <c r="AC31" s="251">
        <f>-AC158</f>
        <v>-584459.57896493829</v>
      </c>
      <c r="AD31" s="251">
        <f>IF(AC4&gt;=Assumptions!$C$19,AC31/(Assumptions!$C$7-Assumptions!$C$20),AC31/Assumptions!$C$7)</f>
        <v>-1592.5329127110035</v>
      </c>
      <c r="AE31" s="264"/>
      <c r="AF31" s="251">
        <f>+-AF122-AF124-AF142-AF148-AF151</f>
        <v>-13732590.578204965</v>
      </c>
      <c r="AG31" s="251">
        <f>IF(AF4&gt;=Assumptions!$C$19,AF31/(Assumptions!$C$7-Assumptions!$C$20),AF31/Assumptions!$C$7)</f>
        <v>-37418.502937888188</v>
      </c>
      <c r="AH31" s="177"/>
    </row>
    <row r="32" spans="1:34" x14ac:dyDescent="0.35">
      <c r="A32" s="120" t="s">
        <v>233</v>
      </c>
      <c r="B32" s="251">
        <f>-B153</f>
        <v>0</v>
      </c>
      <c r="C32" s="251">
        <f>B32/Assumptions!$C$7</f>
        <v>0</v>
      </c>
      <c r="D32" s="264"/>
      <c r="E32" s="251">
        <f>-E125-E153-E149</f>
        <v>0</v>
      </c>
      <c r="F32" s="251">
        <f>IF(E4&gt;=Assumptions!$C$19,E32/(Assumptions!$C$7-Assumptions!$C$20),E32/Assumptions!$C$7)</f>
        <v>0</v>
      </c>
      <c r="G32" s="264"/>
      <c r="H32" s="251">
        <f>-H125-H153-H149</f>
        <v>-5194.7194214752917</v>
      </c>
      <c r="I32" s="251">
        <f>IF(H4&gt;=Assumptions!$C$19,H32/(Assumptions!$C$7-Assumptions!$C$20),H32/Assumptions!$C$7)</f>
        <v>-10.666774992762406</v>
      </c>
      <c r="J32" s="264"/>
      <c r="K32" s="251">
        <f>-K125-K153-K149</f>
        <v>-15955.139941606634</v>
      </c>
      <c r="L32" s="251">
        <f>IF(K4&gt;=Assumptions!$C$19,K32/(Assumptions!$C$7-Assumptions!$C$20),K32/Assumptions!$C$7)</f>
        <v>-32.762094335947914</v>
      </c>
      <c r="M32" s="265"/>
      <c r="N32" s="251">
        <f>-N125-N153-N149</f>
        <v>-29901.170923311583</v>
      </c>
      <c r="O32" s="251">
        <f>IF(N4&gt;=Assumptions!$C$19,N32/(Assumptions!$C$7-Assumptions!$C$20),N32/Assumptions!$C$7)</f>
        <v>-61.39870826142009</v>
      </c>
      <c r="P32" s="264"/>
      <c r="Q32" s="251">
        <f>-Q125-Q153-Q149</f>
        <v>-30022.393250812089</v>
      </c>
      <c r="R32" s="251">
        <f>IF(Q4&gt;=Assumptions!$C$19,Q32/(Assumptions!$C$7-Assumptions!$C$20),Q32/Assumptions!$C$7)</f>
        <v>-61.647624744994019</v>
      </c>
      <c r="S32" s="264"/>
      <c r="T32" s="251">
        <f>-T125-T153-T149</f>
        <v>-50570.9201420596</v>
      </c>
      <c r="U32" s="251">
        <f>IF(T4&gt;=Assumptions!$C$19,T32/(Assumptions!$C$7-Assumptions!$C$20),T32/Assumptions!$C$7)</f>
        <v>-137.79542273040764</v>
      </c>
      <c r="V32" s="264"/>
      <c r="W32" s="251">
        <f>-W125-W153-W149</f>
        <v>-208004.91114600358</v>
      </c>
      <c r="X32" s="251">
        <f>IF(W4&gt;=Assumptions!$C$19,W32/(Assumptions!$C$7-Assumptions!$C$20),W32/Assumptions!$C$7)</f>
        <v>-566.77087505723046</v>
      </c>
      <c r="Y32" s="264"/>
      <c r="Z32" s="251">
        <f>-Z125-Z153-Z149</f>
        <v>-77216.748526314739</v>
      </c>
      <c r="AA32" s="251">
        <f>IF(Z4&gt;=Assumptions!$C$19,Z32/(Assumptions!$C$7-Assumptions!$C$20),Z32/Assumptions!$C$7)</f>
        <v>-210.3998597447268</v>
      </c>
      <c r="AB32" s="264"/>
      <c r="AC32" s="251">
        <f>-AC125-AC153-AC149</f>
        <v>-93067.627161188735</v>
      </c>
      <c r="AD32" s="251">
        <f>IF(AC4&gt;=Assumptions!$C$19,AC32/(Assumptions!$C$7-Assumptions!$C$20),AC32/Assumptions!$C$7)</f>
        <v>-253.59026474438346</v>
      </c>
      <c r="AE32" s="264"/>
      <c r="AF32" s="251">
        <f>-AF125-AF153-AF149</f>
        <v>-3942691.3294248995</v>
      </c>
      <c r="AG32" s="251">
        <f>IF(AF4&gt;=Assumptions!$C$19,AF32/(Assumptions!$C$7-Assumptions!$C$20),AF32/Assumptions!$C$7)</f>
        <v>-10743.028145571934</v>
      </c>
      <c r="AH32" s="177"/>
    </row>
    <row r="33" spans="1:35" x14ac:dyDescent="0.35">
      <c r="A33" s="74" t="s">
        <v>104</v>
      </c>
      <c r="B33" s="256">
        <v>0</v>
      </c>
      <c r="C33" s="251">
        <f>B33/Assumptions!$C$7</f>
        <v>0</v>
      </c>
      <c r="D33" s="264"/>
      <c r="E33" s="256">
        <f>E74+E105</f>
        <v>-2961230.1809027777</v>
      </c>
      <c r="F33" s="251">
        <f>IF(E4&gt;=Assumptions!$C$19,E33/(Assumptions!$C$7-Assumptions!$C$20),E33/Assumptions!$C$7)</f>
        <v>-6080.5547862480034</v>
      </c>
      <c r="G33" s="264"/>
      <c r="H33" s="256">
        <f>H74+H105</f>
        <v>12836.513457891764</v>
      </c>
      <c r="I33" s="251">
        <f>IF(H4&gt;=Assumptions!$C$19,H33/(Assumptions!$C$7-Assumptions!$C$20),H33/Assumptions!$C$7)</f>
        <v>26.358343856040584</v>
      </c>
      <c r="J33" s="264"/>
      <c r="K33" s="256">
        <f>K74+K105</f>
        <v>179640.00070472748</v>
      </c>
      <c r="L33" s="251">
        <f>IF(K4&gt;=Assumptions!$C$19,K33/(Assumptions!$C$7-Assumptions!$C$20),K33/Assumptions!$C$7)</f>
        <v>368.87063799738701</v>
      </c>
      <c r="M33" s="265"/>
      <c r="N33" s="256">
        <f>N74+N105</f>
        <v>251445.39015406423</v>
      </c>
      <c r="O33" s="251">
        <f>IF(N4&gt;=Assumptions!$C$19,N33/(Assumptions!$C$7-Assumptions!$C$20),N33/Assumptions!$C$7)</f>
        <v>516.31496951553231</v>
      </c>
      <c r="P33" s="264"/>
      <c r="Q33" s="256">
        <f>Q74+Q105</f>
        <v>327107.93141343084</v>
      </c>
      <c r="R33" s="251">
        <f>IF(Q4&gt;=Assumptions!$C$19,Q33/(Assumptions!$C$7-Assumptions!$C$20),Q33/Assumptions!$C$7)</f>
        <v>671.67953062306128</v>
      </c>
      <c r="S33" s="264"/>
      <c r="T33" s="256">
        <f>T74+T105</f>
        <v>412628.41456865199</v>
      </c>
      <c r="U33" s="251">
        <f>IF(T4&gt;=Assumptions!$C$19,T33/(Assumptions!$C$7-Assumptions!$C$20),T33/Assumptions!$C$7)</f>
        <v>1124.3281050916949</v>
      </c>
      <c r="V33" s="264"/>
      <c r="W33" s="256">
        <f>W74+W105</f>
        <v>1246216.9806145306</v>
      </c>
      <c r="X33" s="251">
        <f>IF(W4&gt;=Assumptions!$C$19,W33/(Assumptions!$C$7-Assumptions!$C$20),W33/Assumptions!$C$7)</f>
        <v>3395.6865956799202</v>
      </c>
      <c r="Y33" s="264"/>
      <c r="Z33" s="256">
        <f>Z74+Z105</f>
        <v>405472.73061124742</v>
      </c>
      <c r="AA33" s="251">
        <f>IF(Z4&gt;=Assumptions!$C$19,Z33/(Assumptions!$C$7-Assumptions!$C$20),Z33/Assumptions!$C$7)</f>
        <v>1104.8303286410012</v>
      </c>
      <c r="AB33" s="264"/>
      <c r="AC33" s="256">
        <f>AC74+AC105</f>
        <v>474755.9173860118</v>
      </c>
      <c r="AD33" s="251">
        <f>IF(AC4&gt;=Assumptions!$C$19,AC33/(Assumptions!$C$7-Assumptions!$C$20),AC33/Assumptions!$C$7)</f>
        <v>1293.6128539128388</v>
      </c>
      <c r="AE33" s="264"/>
      <c r="AF33" s="256">
        <f>ROUND(AF74+AF105,0)</f>
        <v>17188996</v>
      </c>
      <c r="AG33" s="251">
        <f>IF(AF4&gt;=Assumptions!$C$19,AF33/(Assumptions!$C$7-Assumptions!$C$20),AF33/Assumptions!$C$7)</f>
        <v>46836.501362397823</v>
      </c>
      <c r="AH33" s="177"/>
    </row>
    <row r="34" spans="1:35" x14ac:dyDescent="0.35">
      <c r="A34" s="89" t="s">
        <v>99</v>
      </c>
      <c r="B34" s="259">
        <f>SUM(B28:B33)</f>
        <v>10955000</v>
      </c>
      <c r="C34" s="259">
        <f>SUM(C28:C33)</f>
        <v>22494.866529774128</v>
      </c>
      <c r="D34" s="268"/>
      <c r="E34" s="259">
        <f>SUM(E28:E33)</f>
        <v>7993769.8190972228</v>
      </c>
      <c r="F34" s="259">
        <f>SUM(F28:F33)</f>
        <v>16414.311743526123</v>
      </c>
      <c r="G34" s="268"/>
      <c r="H34" s="259">
        <f>SUM(H28:H33)</f>
        <v>7523750.0789376497</v>
      </c>
      <c r="I34" s="259">
        <f>SUM(I28:I33)</f>
        <v>15449.178806853493</v>
      </c>
      <c r="J34" s="268"/>
      <c r="K34" s="259">
        <f>SUM(K28:K33)</f>
        <v>7070436.1359727075</v>
      </c>
      <c r="L34" s="259">
        <f>SUM(L28:L33)</f>
        <v>14518.349355180098</v>
      </c>
      <c r="M34" s="269"/>
      <c r="N34" s="259">
        <f>SUM(N28:N33)</f>
        <v>6635696.7427366627</v>
      </c>
      <c r="O34" s="259">
        <f>SUM(O28:O33)</f>
        <v>13625.660662703618</v>
      </c>
      <c r="P34" s="268"/>
      <c r="Q34" s="259">
        <f>SUM(Q28:Q33)</f>
        <v>6212317.2146937298</v>
      </c>
      <c r="R34" s="259">
        <f>SUM(R28:R33)</f>
        <v>12756.298182122649</v>
      </c>
      <c r="S34" s="268"/>
      <c r="T34" s="259">
        <f>SUM(T28:T33)</f>
        <v>1837139.8143387251</v>
      </c>
      <c r="U34" s="259">
        <f>SUM(U28:U33)</f>
        <v>5005.8305567812658</v>
      </c>
      <c r="V34" s="268"/>
      <c r="W34" s="259">
        <f>SUM(W28:W33)</f>
        <v>1640943.3438922565</v>
      </c>
      <c r="X34" s="259">
        <f>SUM(X28:X33)</f>
        <v>4471.2352694611891</v>
      </c>
      <c r="Y34" s="268"/>
      <c r="Z34" s="259">
        <f>SUM(Z28:Z33)</f>
        <v>1427151.2801066199</v>
      </c>
      <c r="AA34" s="259">
        <f>SUM(AA28:AA33)</f>
        <v>3888.6955861215802</v>
      </c>
      <c r="AB34" s="268"/>
      <c r="AC34" s="259">
        <f>SUM(AC28:AC33)</f>
        <v>1224379.9913665047</v>
      </c>
      <c r="AD34" s="259">
        <f>SUM(AD28:AD33)</f>
        <v>3336.185262579032</v>
      </c>
      <c r="AE34" s="268"/>
      <c r="AF34" s="259">
        <f>SUM(AF28:AF33)</f>
        <v>738094.09237013571</v>
      </c>
      <c r="AG34" s="259">
        <f>SUM(AG28:AG33)</f>
        <v>2011.1555650412411</v>
      </c>
      <c r="AH34" s="178"/>
    </row>
    <row r="35" spans="1:35" x14ac:dyDescent="0.35">
      <c r="A35" s="74"/>
      <c r="B35" s="250"/>
      <c r="C35" s="250"/>
      <c r="D35" s="264"/>
      <c r="E35" s="250"/>
      <c r="F35" s="250"/>
      <c r="G35" s="264"/>
      <c r="H35" s="250"/>
      <c r="I35" s="250"/>
      <c r="J35" s="264"/>
      <c r="K35" s="250"/>
      <c r="L35" s="250"/>
      <c r="M35" s="265"/>
      <c r="N35" s="250"/>
      <c r="O35" s="250"/>
      <c r="P35" s="264"/>
      <c r="Q35" s="250"/>
      <c r="R35" s="250"/>
      <c r="S35" s="264"/>
      <c r="T35" s="250"/>
      <c r="U35" s="250"/>
      <c r="V35" s="264"/>
      <c r="W35" s="250"/>
      <c r="X35" s="250"/>
      <c r="Y35" s="264"/>
      <c r="Z35" s="250"/>
      <c r="AA35" s="250"/>
      <c r="AB35" s="264"/>
      <c r="AC35" s="250"/>
      <c r="AD35" s="250"/>
      <c r="AE35" s="264"/>
      <c r="AF35" s="250"/>
      <c r="AG35" s="250"/>
      <c r="AH35" s="177"/>
    </row>
    <row r="36" spans="1:35" ht="16" thickBot="1" x14ac:dyDescent="0.4">
      <c r="A36" s="78" t="s">
        <v>100</v>
      </c>
      <c r="B36" s="253">
        <f>B34+B26</f>
        <v>20483750</v>
      </c>
      <c r="C36" s="253">
        <f>C34+C26</f>
        <v>42061.088295687885</v>
      </c>
      <c r="D36" s="272"/>
      <c r="E36" s="253">
        <f>E34+E26</f>
        <v>17547469.819097221</v>
      </c>
      <c r="F36" s="253">
        <f>F34+F26</f>
        <v>36031.765542294088</v>
      </c>
      <c r="G36" s="272"/>
      <c r="H36" s="253">
        <f>H34+H26</f>
        <v>16824563.483224742</v>
      </c>
      <c r="I36" s="253">
        <f>I34+I26</f>
        <v>34547.358281775661</v>
      </c>
      <c r="J36" s="272"/>
      <c r="K36" s="253">
        <f>K34+K26</f>
        <v>16110144.130186226</v>
      </c>
      <c r="L36" s="253">
        <f>L34+L26</f>
        <v>33080.378090731472</v>
      </c>
      <c r="M36" s="273"/>
      <c r="N36" s="253">
        <f>N34+N26</f>
        <v>15405813.401049215</v>
      </c>
      <c r="O36" s="253">
        <f>O34+O26</f>
        <v>31634.113759854656</v>
      </c>
      <c r="P36" s="272"/>
      <c r="Q36" s="253">
        <f>Q34+Q26</f>
        <v>14704080.818688534</v>
      </c>
      <c r="R36" s="253">
        <f>R34+R26</f>
        <v>30193.18443262533</v>
      </c>
      <c r="S36" s="272"/>
      <c r="T36" s="253">
        <f>T34+T26</f>
        <v>10041503.889750456</v>
      </c>
      <c r="U36" s="253">
        <f>U34+U26</f>
        <v>27361.046021118411</v>
      </c>
      <c r="V36" s="272"/>
      <c r="W36" s="253">
        <f>W34+W26</f>
        <v>9548567.406041963</v>
      </c>
      <c r="X36" s="253">
        <f>X34+X26</f>
        <v>26017.8948393514</v>
      </c>
      <c r="Y36" s="272"/>
      <c r="Z36" s="253">
        <f>Z34+Z26</f>
        <v>9028391.2785632871</v>
      </c>
      <c r="AA36" s="253">
        <f>AA34+AA26</f>
        <v>24600.52119499533</v>
      </c>
      <c r="AB36" s="272"/>
      <c r="AC36" s="253">
        <f>ROUND(AC34+AC26,0)</f>
        <v>8509278</v>
      </c>
      <c r="AD36" s="253">
        <f>AD34+AD26</f>
        <v>23186.044806703288</v>
      </c>
      <c r="AE36" s="272"/>
      <c r="AF36" s="253">
        <f>ROUND(AF34+AF26,0)</f>
        <v>738094</v>
      </c>
      <c r="AG36" s="253">
        <f>AG34+AG26</f>
        <v>2011.1555650412411</v>
      </c>
      <c r="AH36" s="183"/>
    </row>
    <row r="37" spans="1:35" ht="16" thickTop="1" x14ac:dyDescent="0.35">
      <c r="A37" s="77"/>
      <c r="B37" s="260"/>
      <c r="C37" s="274"/>
      <c r="D37" s="275"/>
      <c r="E37" s="260"/>
      <c r="F37" s="274"/>
      <c r="G37" s="275"/>
      <c r="H37" s="260"/>
      <c r="I37" s="274"/>
      <c r="J37" s="275"/>
      <c r="K37" s="260"/>
      <c r="L37" s="274"/>
      <c r="M37" s="275"/>
      <c r="N37" s="260"/>
      <c r="O37" s="274"/>
      <c r="P37" s="275"/>
      <c r="Q37" s="260"/>
      <c r="R37" s="274"/>
      <c r="S37" s="275"/>
      <c r="T37" s="260"/>
      <c r="U37" s="274"/>
      <c r="V37" s="275"/>
      <c r="W37" s="260"/>
      <c r="X37" s="274"/>
      <c r="Y37" s="275"/>
      <c r="Z37" s="260"/>
      <c r="AA37" s="274"/>
      <c r="AB37" s="275"/>
      <c r="AC37" s="260"/>
      <c r="AD37" s="274"/>
      <c r="AE37" s="276"/>
      <c r="AF37" s="260"/>
      <c r="AG37" s="274"/>
      <c r="AH37" s="184"/>
      <c r="AI37" s="79"/>
    </row>
    <row r="38" spans="1:35" x14ac:dyDescent="0.35">
      <c r="A38" s="77"/>
      <c r="B38" s="261"/>
      <c r="C38" s="274"/>
      <c r="D38" s="275"/>
      <c r="E38" s="261"/>
      <c r="F38" s="261"/>
      <c r="G38" s="277"/>
      <c r="H38" s="261"/>
      <c r="I38" s="261"/>
      <c r="J38" s="277"/>
      <c r="K38" s="261"/>
      <c r="L38" s="261"/>
      <c r="M38" s="277"/>
      <c r="N38" s="261"/>
      <c r="O38" s="261"/>
      <c r="P38" s="277"/>
      <c r="Q38" s="261"/>
      <c r="R38" s="261"/>
      <c r="S38" s="277"/>
      <c r="T38" s="261"/>
      <c r="U38" s="261"/>
      <c r="V38" s="277"/>
      <c r="W38" s="261"/>
      <c r="X38" s="261"/>
      <c r="Y38" s="277"/>
      <c r="Z38" s="261"/>
      <c r="AA38" s="261"/>
      <c r="AB38" s="277"/>
      <c r="AC38" s="261"/>
      <c r="AD38" s="261"/>
      <c r="AE38" s="278"/>
      <c r="AF38" s="261"/>
      <c r="AG38" s="261"/>
      <c r="AH38" s="185"/>
    </row>
    <row r="39" spans="1:35" x14ac:dyDescent="0.35">
      <c r="A39" s="77"/>
      <c r="B39" s="261"/>
      <c r="C39" s="279" t="s">
        <v>129</v>
      </c>
      <c r="D39" s="275"/>
      <c r="E39" s="261"/>
      <c r="F39" s="279" t="s">
        <v>129</v>
      </c>
      <c r="G39" s="277"/>
      <c r="H39" s="261"/>
      <c r="I39" s="279" t="s">
        <v>129</v>
      </c>
      <c r="J39" s="277"/>
      <c r="K39" s="261"/>
      <c r="L39" s="279" t="s">
        <v>129</v>
      </c>
      <c r="M39" s="277"/>
      <c r="N39" s="261"/>
      <c r="O39" s="279" t="s">
        <v>129</v>
      </c>
      <c r="P39" s="277"/>
      <c r="Q39" s="261"/>
      <c r="R39" s="279" t="s">
        <v>129</v>
      </c>
      <c r="S39" s="277"/>
      <c r="T39" s="261"/>
      <c r="U39" s="279" t="s">
        <v>129</v>
      </c>
      <c r="V39" s="277"/>
      <c r="W39" s="261"/>
      <c r="X39" s="279" t="s">
        <v>129</v>
      </c>
      <c r="Y39" s="277"/>
      <c r="Z39" s="261"/>
      <c r="AA39" s="279" t="s">
        <v>129</v>
      </c>
      <c r="AB39" s="277"/>
      <c r="AC39" s="261"/>
      <c r="AD39" s="279" t="s">
        <v>129</v>
      </c>
      <c r="AE39" s="278"/>
      <c r="AF39" s="261"/>
      <c r="AG39" s="279" t="s">
        <v>129</v>
      </c>
      <c r="AH39" s="182"/>
    </row>
    <row r="40" spans="1:35" x14ac:dyDescent="0.35">
      <c r="A40" s="77" t="s">
        <v>125</v>
      </c>
      <c r="B40" s="262">
        <f>IFERROR(B8/B22,0)</f>
        <v>0</v>
      </c>
      <c r="C40" s="280"/>
      <c r="D40" s="281"/>
      <c r="E40" s="282">
        <f>IFERROR(E8/E22,0)</f>
        <v>1.0589671182166527</v>
      </c>
      <c r="F40" s="283"/>
      <c r="G40" s="284"/>
      <c r="H40" s="282">
        <f>IFERROR(H8/H22,0)</f>
        <v>1.0550874851383307</v>
      </c>
      <c r="I40" s="283"/>
      <c r="J40" s="284"/>
      <c r="K40" s="282">
        <f>IFERROR(K8/K22,0)</f>
        <v>1.0792852867792788</v>
      </c>
      <c r="L40" s="283"/>
      <c r="M40" s="284"/>
      <c r="N40" s="282">
        <f>IFERROR(N8/N22,0)</f>
        <v>1.1343881841979941</v>
      </c>
      <c r="O40" s="283"/>
      <c r="P40" s="284"/>
      <c r="Q40" s="282">
        <f>IFERROR(Q8/Q22,0)</f>
        <v>1.1936333644549548</v>
      </c>
      <c r="R40" s="283"/>
      <c r="S40" s="284"/>
      <c r="T40" s="282">
        <f>IFERROR(T8/T22,0)</f>
        <v>1.3159994786833207</v>
      </c>
      <c r="U40" s="283"/>
      <c r="V40" s="284"/>
      <c r="W40" s="282">
        <f>IFERROR(W8/W22,0)</f>
        <v>1.4514276035544937</v>
      </c>
      <c r="X40" s="283"/>
      <c r="Y40" s="284"/>
      <c r="Z40" s="282">
        <f>IFERROR(Z8/Z22,0)</f>
        <v>1.4979312699359957</v>
      </c>
      <c r="AA40" s="283"/>
      <c r="AB40" s="284"/>
      <c r="AC40" s="282">
        <f>IFERROR(AC8/AC22,0)</f>
        <v>1.5434034764455047</v>
      </c>
      <c r="AD40" s="283"/>
      <c r="AE40" s="284"/>
      <c r="AF40" s="282">
        <f>IFERROR(AF8/AF22,0)</f>
        <v>0</v>
      </c>
      <c r="AG40" s="274"/>
      <c r="AH40" s="184"/>
    </row>
    <row r="41" spans="1:35" s="101" customFormat="1" x14ac:dyDescent="0.35">
      <c r="A41" s="101" t="s">
        <v>126</v>
      </c>
      <c r="B41" s="263">
        <f>B8-B22</f>
        <v>2500000</v>
      </c>
      <c r="C41" s="263">
        <f>B41/Assumptions!$C$7</f>
        <v>5133.4702258726902</v>
      </c>
      <c r="D41" s="277"/>
      <c r="E41" s="263">
        <f>E8-E22</f>
        <v>16383.223384315264</v>
      </c>
      <c r="F41" s="263">
        <f>E41/Assumptions!$C$7</f>
        <v>33.641115778881449</v>
      </c>
      <c r="G41" s="277"/>
      <c r="H41" s="263">
        <f>H8-H22</f>
        <v>15758.073151167133</v>
      </c>
      <c r="I41" s="263">
        <f>H41/Assumptions!$C$7</f>
        <v>32.357439735456126</v>
      </c>
      <c r="J41" s="277"/>
      <c r="K41" s="263">
        <f>K8-K22</f>
        <v>23352.794285260024</v>
      </c>
      <c r="L41" s="263">
        <f>K41/Assumptions!$C$7</f>
        <v>47.952349661724895</v>
      </c>
      <c r="M41" s="277"/>
      <c r="N41" s="263">
        <f>N8-N22</f>
        <v>40760.346731467696</v>
      </c>
      <c r="O41" s="263">
        <f>N41/Assumptions!$C$7</f>
        <v>83.69681053689466</v>
      </c>
      <c r="P41" s="277"/>
      <c r="Q41" s="263">
        <f>Q8-Q22</f>
        <v>60481.290105459804</v>
      </c>
      <c r="R41" s="263">
        <f>Q41/Assumptions!$C$7</f>
        <v>124.19156079149857</v>
      </c>
      <c r="S41" s="277"/>
      <c r="T41" s="263">
        <f>T8-T22</f>
        <v>101653.87648843019</v>
      </c>
      <c r="U41" s="263">
        <f>T41/Assumptions!$C$7</f>
        <v>208.73485931915852</v>
      </c>
      <c r="V41" s="277"/>
      <c r="W41" s="263">
        <f>W8-W22</f>
        <v>149573.34234892105</v>
      </c>
      <c r="X41" s="263">
        <f>W41/Assumptions!$C$7</f>
        <v>307.13211981297957</v>
      </c>
      <c r="Y41" s="277"/>
      <c r="Z41" s="263">
        <f>Z8-Z22</f>
        <v>169939.73280022136</v>
      </c>
      <c r="AA41" s="263">
        <f>Z41/Assumptions!$C$7</f>
        <v>348.95222340907878</v>
      </c>
      <c r="AB41" s="277"/>
      <c r="AC41" s="263">
        <f>AC8-AC22</f>
        <v>191045.79805974232</v>
      </c>
      <c r="AD41" s="263">
        <f>AC41/Assumptions!$C$7</f>
        <v>392.2911664471095</v>
      </c>
      <c r="AE41" s="278"/>
      <c r="AF41" s="263">
        <f>AF8-AF22</f>
        <v>763044</v>
      </c>
      <c r="AG41" s="263">
        <f>AF41/Assumptions!$C$7</f>
        <v>1566.8254620123203</v>
      </c>
      <c r="AH41" s="185"/>
    </row>
    <row r="42" spans="1:35" x14ac:dyDescent="0.35">
      <c r="A42" s="77" t="s">
        <v>132</v>
      </c>
      <c r="B42" s="131">
        <f>B26/B34</f>
        <v>0.86980830670926512</v>
      </c>
      <c r="C42" s="131">
        <f>B42/Assumptions!$C$7</f>
        <v>1.7860540178835013E-3</v>
      </c>
      <c r="D42" s="179"/>
      <c r="E42" s="131">
        <f>E26/E34</f>
        <v>1.195143244827501</v>
      </c>
      <c r="F42" s="131">
        <f>E42/Assumptions!$C$7</f>
        <v>2.4540929051899405E-3</v>
      </c>
      <c r="G42" s="179"/>
      <c r="H42" s="131">
        <f>H26/H34</f>
        <v>1.2361938271081387</v>
      </c>
      <c r="I42" s="131">
        <f>H42/Assumptions!$C$7</f>
        <v>2.5383856819468967E-3</v>
      </c>
      <c r="J42" s="179"/>
      <c r="K42" s="131">
        <f>K26/K34</f>
        <v>1.2785219780462513</v>
      </c>
      <c r="L42" s="131">
        <f>K42/Assumptions!$C$7</f>
        <v>2.6253018029697155E-3</v>
      </c>
      <c r="M42" s="179"/>
      <c r="N42" s="131">
        <f>N26/N34</f>
        <v>1.3216572423856163</v>
      </c>
      <c r="O42" s="131">
        <f>N42/Assumptions!$C$7</f>
        <v>2.7138752410382264E-3</v>
      </c>
      <c r="P42" s="179"/>
      <c r="Q42" s="131">
        <f>Q26/Q34</f>
        <v>1.3669236953820707</v>
      </c>
      <c r="R42" s="131">
        <f>Q42/Assumptions!$C$7</f>
        <v>2.806824836513492E-3</v>
      </c>
      <c r="S42" s="179"/>
      <c r="T42" s="131">
        <f>T26/T34</f>
        <v>4.4658354314556492</v>
      </c>
      <c r="U42" s="131">
        <f>T42/Assumptions!$C$7</f>
        <v>9.1700932884099581E-3</v>
      </c>
      <c r="V42" s="179"/>
      <c r="W42" s="131">
        <f>W26/W34</f>
        <v>4.8189500823307627</v>
      </c>
      <c r="X42" s="131">
        <f>W42/Assumptions!$C$7</f>
        <v>9.8951747070446881E-3</v>
      </c>
      <c r="Y42" s="179"/>
      <c r="Z42" s="131">
        <f>Z26/Z34</f>
        <v>5.3261627582247568</v>
      </c>
      <c r="AA42" s="131">
        <f>Z42/Assumptions!$C$7</f>
        <v>1.09366791749995E-2</v>
      </c>
      <c r="AB42" s="179"/>
      <c r="AC42" s="131">
        <f>AC26/AC34</f>
        <v>5.9498672830834822</v>
      </c>
      <c r="AD42" s="131">
        <f>AC42/Assumptions!$C$7</f>
        <v>1.2217386618241236E-2</v>
      </c>
      <c r="AE42" s="179"/>
      <c r="AF42" s="131">
        <f>IFERROR(AF26/AF34,0)</f>
        <v>0</v>
      </c>
      <c r="AG42" s="131">
        <f>AF42/Assumptions!$C$7</f>
        <v>0</v>
      </c>
      <c r="AH42" s="186"/>
    </row>
    <row r="43" spans="1:35" x14ac:dyDescent="0.35">
      <c r="A43" s="77" t="s">
        <v>128</v>
      </c>
      <c r="B43" s="131">
        <v>0</v>
      </c>
      <c r="C43" s="131">
        <v>0</v>
      </c>
      <c r="D43" s="179"/>
      <c r="E43" s="131">
        <f>(E74+E105)/B34</f>
        <v>-0.27030855142882498</v>
      </c>
      <c r="F43" s="131">
        <f>E43/Assumptions!$C$7</f>
        <v>-5.5504836022345994E-4</v>
      </c>
      <c r="G43" s="179"/>
      <c r="H43" s="131">
        <f>(H74+H105)/E34</f>
        <v>1.6058147467825708E-3</v>
      </c>
      <c r="I43" s="131">
        <f>H43/Assumptions!$C$7</f>
        <v>3.2973608763502481E-6</v>
      </c>
      <c r="J43" s="179"/>
      <c r="K43" s="131">
        <f>(K74+K105)/H34</f>
        <v>2.3876391270308193E-2</v>
      </c>
      <c r="L43" s="131">
        <f>K43/Assumptions!$C$7</f>
        <v>4.9027497474965488E-5</v>
      </c>
      <c r="M43" s="179"/>
      <c r="N43" s="131">
        <f>(N74+N105)/K34</f>
        <v>3.5562925018835762E-2</v>
      </c>
      <c r="O43" s="131">
        <f>N43/Assumptions!$C$7</f>
        <v>7.3024486691654545E-5</v>
      </c>
      <c r="P43" s="179"/>
      <c r="Q43" s="131">
        <f>(Q74+Q105)/N34</f>
        <v>4.9295189954465357E-2</v>
      </c>
      <c r="R43" s="131">
        <f>Q43/Assumptions!$C$7</f>
        <v>1.0122215596399457E-4</v>
      </c>
      <c r="S43" s="179"/>
      <c r="T43" s="131">
        <f>(T74+T105)/Q34</f>
        <v>6.6421014946351997E-2</v>
      </c>
      <c r="U43" s="131">
        <f>T43/Assumptions!$C$7</f>
        <v>1.3638812103973716E-4</v>
      </c>
      <c r="V43" s="179"/>
      <c r="W43" s="131">
        <f>(W74+W105)/T34</f>
        <v>0.67834629182161843</v>
      </c>
      <c r="X43" s="131">
        <f>W43/Assumptions!$C$7</f>
        <v>1.39290819675897E-3</v>
      </c>
      <c r="Y43" s="179"/>
      <c r="Z43" s="131">
        <f>(Z74+Z105)/W34</f>
        <v>0.24709733710213372</v>
      </c>
      <c r="AA43" s="131">
        <f>Z43/Assumptions!$C$7</f>
        <v>5.0738672916249218E-4</v>
      </c>
      <c r="AB43" s="179"/>
      <c r="AC43" s="131">
        <f>(AC74+AC105)/Z34</f>
        <v>0.33265984062358384</v>
      </c>
      <c r="AD43" s="131">
        <f>AC43/Assumptions!$C$7</f>
        <v>6.8307975487388883E-4</v>
      </c>
      <c r="AE43" s="179"/>
      <c r="AF43" s="131">
        <f>(AF74+AF105)/AC34</f>
        <v>14.03893872950646</v>
      </c>
      <c r="AG43" s="131">
        <f>AF43/Assumptions!$C$7</f>
        <v>2.8827389588308956E-2</v>
      </c>
      <c r="AH43" s="186"/>
    </row>
    <row r="44" spans="1:35" x14ac:dyDescent="0.35">
      <c r="A44" s="77"/>
      <c r="B44" s="130"/>
      <c r="C44" s="130"/>
      <c r="D44" s="176"/>
      <c r="E44" s="130"/>
      <c r="F44" s="130"/>
      <c r="G44" s="176"/>
      <c r="H44" s="130"/>
      <c r="I44" s="130"/>
      <c r="J44" s="176"/>
      <c r="K44" s="130"/>
      <c r="L44" s="130"/>
      <c r="M44" s="176"/>
      <c r="N44" s="130"/>
      <c r="O44" s="130"/>
      <c r="P44" s="176"/>
      <c r="Q44" s="130"/>
      <c r="R44" s="130"/>
      <c r="S44" s="176"/>
      <c r="T44" s="130"/>
      <c r="U44" s="130"/>
      <c r="V44" s="176"/>
      <c r="W44" s="130"/>
      <c r="X44" s="130"/>
      <c r="Y44" s="176"/>
      <c r="Z44" s="130"/>
      <c r="AA44" s="130"/>
      <c r="AB44" s="176"/>
      <c r="AC44" s="130"/>
      <c r="AD44" s="130"/>
      <c r="AE44" s="181"/>
      <c r="AF44" s="130"/>
      <c r="AG44" s="130"/>
      <c r="AH44" s="184"/>
    </row>
    <row r="45" spans="1:35" x14ac:dyDescent="0.35">
      <c r="A45" s="127" t="str">
        <f>A1</f>
        <v>C5 Farming, LLC</v>
      </c>
      <c r="B45" s="94"/>
      <c r="C45" s="94"/>
      <c r="E45" s="94"/>
      <c r="F45" s="94"/>
      <c r="H45" s="94"/>
      <c r="I45" s="94"/>
      <c r="K45" s="94"/>
      <c r="L45" s="94"/>
      <c r="N45" s="94"/>
      <c r="O45" s="94"/>
      <c r="Q45" s="94"/>
      <c r="R45" s="94"/>
      <c r="T45" s="94"/>
      <c r="U45" s="94"/>
      <c r="W45" s="94"/>
      <c r="X45" s="94"/>
      <c r="Z45" s="94"/>
      <c r="AA45" s="94"/>
      <c r="AC45" s="94"/>
      <c r="AD45" s="94"/>
      <c r="AF45" s="94"/>
      <c r="AG45" s="94"/>
      <c r="AH45" s="183"/>
    </row>
    <row r="46" spans="1:35" x14ac:dyDescent="0.35">
      <c r="A46" s="128" t="s">
        <v>124</v>
      </c>
      <c r="B46" s="94"/>
      <c r="C46" s="94"/>
      <c r="E46" s="94"/>
      <c r="F46" s="94"/>
      <c r="H46" s="94"/>
      <c r="I46" s="94"/>
      <c r="K46" s="94"/>
      <c r="L46" s="94"/>
      <c r="N46" s="94"/>
      <c r="O46" s="94"/>
      <c r="Q46" s="94"/>
      <c r="R46" s="94"/>
      <c r="T46" s="94"/>
      <c r="U46" s="94"/>
      <c r="W46" s="94"/>
      <c r="X46" s="94"/>
      <c r="Z46" s="94"/>
      <c r="AA46" s="94"/>
      <c r="AC46" s="94"/>
      <c r="AD46" s="94"/>
      <c r="AF46" s="94"/>
      <c r="AG46" s="94"/>
      <c r="AH46" s="183"/>
    </row>
    <row r="47" spans="1:35" x14ac:dyDescent="0.35">
      <c r="A47" s="128" t="s">
        <v>67</v>
      </c>
      <c r="B47" s="94"/>
      <c r="C47" s="94"/>
      <c r="E47" s="94"/>
      <c r="F47" s="94"/>
      <c r="H47" s="94"/>
      <c r="I47" s="94"/>
      <c r="K47" s="94"/>
      <c r="L47" s="94"/>
      <c r="N47" s="94"/>
      <c r="O47" s="94"/>
      <c r="Q47" s="94"/>
      <c r="R47" s="94"/>
      <c r="T47" s="94"/>
      <c r="U47" s="94"/>
      <c r="W47" s="94"/>
      <c r="X47" s="94"/>
      <c r="Z47" s="94"/>
      <c r="AA47" s="94"/>
      <c r="AC47" s="94"/>
      <c r="AD47" s="94"/>
      <c r="AF47" s="94"/>
      <c r="AG47" s="94"/>
      <c r="AH47" s="183"/>
    </row>
    <row r="48" spans="1:35" x14ac:dyDescent="0.35">
      <c r="A48" s="91"/>
      <c r="B48" s="369">
        <f>B3</f>
        <v>2021</v>
      </c>
      <c r="C48" s="369"/>
      <c r="D48" s="175"/>
      <c r="E48" s="369">
        <f>E3</f>
        <v>2022</v>
      </c>
      <c r="F48" s="369"/>
      <c r="G48" s="176"/>
      <c r="H48" s="369">
        <f>H3</f>
        <v>2023</v>
      </c>
      <c r="I48" s="369"/>
      <c r="J48" s="176"/>
      <c r="K48" s="369">
        <f>K3</f>
        <v>2024</v>
      </c>
      <c r="L48" s="369"/>
      <c r="N48" s="369">
        <f>N3</f>
        <v>2025</v>
      </c>
      <c r="O48" s="369"/>
      <c r="P48" s="175"/>
      <c r="Q48" s="369">
        <f>Q3</f>
        <v>2026</v>
      </c>
      <c r="R48" s="369"/>
      <c r="S48" s="175"/>
      <c r="T48" s="369">
        <f>T3</f>
        <v>2027</v>
      </c>
      <c r="U48" s="369"/>
      <c r="V48" s="175"/>
      <c r="W48" s="369">
        <f>W3</f>
        <v>2028</v>
      </c>
      <c r="X48" s="369"/>
      <c r="Y48" s="175"/>
      <c r="Z48" s="369">
        <f>Z3</f>
        <v>2029</v>
      </c>
      <c r="AA48" s="369"/>
      <c r="AB48" s="175"/>
      <c r="AC48" s="369">
        <f>AC3</f>
        <v>2030</v>
      </c>
      <c r="AD48" s="369"/>
      <c r="AE48" s="175"/>
      <c r="AF48" s="369">
        <f>AF3</f>
        <v>2031</v>
      </c>
      <c r="AG48" s="369"/>
      <c r="AH48" s="175"/>
    </row>
    <row r="49" spans="1:35" x14ac:dyDescent="0.35">
      <c r="A49" s="91"/>
      <c r="B49" s="370">
        <f>B4</f>
        <v>0</v>
      </c>
      <c r="C49" s="370"/>
      <c r="D49" s="176"/>
      <c r="E49" s="370">
        <f>E4</f>
        <v>1</v>
      </c>
      <c r="F49" s="370"/>
      <c r="G49" s="176"/>
      <c r="H49" s="370">
        <f>H4</f>
        <v>2</v>
      </c>
      <c r="I49" s="370"/>
      <c r="J49" s="176"/>
      <c r="K49" s="370">
        <f>K4</f>
        <v>3</v>
      </c>
      <c r="L49" s="370"/>
      <c r="N49" s="370">
        <f>N4</f>
        <v>4</v>
      </c>
      <c r="O49" s="370"/>
      <c r="P49" s="175"/>
      <c r="Q49" s="370">
        <f>Q4</f>
        <v>5</v>
      </c>
      <c r="R49" s="370"/>
      <c r="S49" s="175"/>
      <c r="T49" s="370">
        <f>T4</f>
        <v>6</v>
      </c>
      <c r="U49" s="370"/>
      <c r="V49" s="175"/>
      <c r="W49" s="370">
        <f>W4</f>
        <v>7</v>
      </c>
      <c r="X49" s="370"/>
      <c r="Y49" s="175"/>
      <c r="Z49" s="370">
        <f>Z4</f>
        <v>8</v>
      </c>
      <c r="AA49" s="370"/>
      <c r="AB49" s="175"/>
      <c r="AC49" s="370">
        <f>AC4</f>
        <v>9</v>
      </c>
      <c r="AD49" s="370"/>
      <c r="AE49" s="175"/>
      <c r="AF49" s="370">
        <f>AF4</f>
        <v>10</v>
      </c>
      <c r="AG49" s="370"/>
      <c r="AH49" s="176"/>
    </row>
    <row r="50" spans="1:35" x14ac:dyDescent="0.35">
      <c r="A50" s="77"/>
      <c r="B50" s="118"/>
      <c r="C50" s="118"/>
      <c r="D50" s="180"/>
      <c r="E50" s="118"/>
      <c r="F50" s="118"/>
      <c r="G50" s="180"/>
      <c r="H50" s="116"/>
      <c r="I50" s="116"/>
      <c r="J50" s="180"/>
      <c r="K50" s="116"/>
      <c r="L50" s="116"/>
      <c r="M50" s="176"/>
      <c r="N50" s="92"/>
      <c r="O50" s="93"/>
      <c r="P50" s="176"/>
      <c r="Q50" s="92"/>
      <c r="R50" s="337"/>
      <c r="S50" s="176"/>
      <c r="T50" s="92"/>
      <c r="U50" s="337"/>
      <c r="V50" s="176"/>
      <c r="W50" s="92"/>
      <c r="X50" s="337"/>
      <c r="Y50" s="176"/>
      <c r="Z50" s="87"/>
      <c r="AA50" s="337"/>
      <c r="AB50" s="176"/>
      <c r="AC50" s="87"/>
      <c r="AD50" s="337"/>
      <c r="AE50" s="181"/>
      <c r="AF50" s="77"/>
      <c r="AG50" s="77"/>
      <c r="AH50" s="181"/>
    </row>
    <row r="51" spans="1:35" x14ac:dyDescent="0.35">
      <c r="A51" s="74" t="s">
        <v>105</v>
      </c>
      <c r="B51" s="116"/>
      <c r="C51" s="81" t="s">
        <v>129</v>
      </c>
      <c r="D51" s="180"/>
      <c r="E51" s="116"/>
      <c r="F51" s="81" t="s">
        <v>129</v>
      </c>
      <c r="G51" s="180"/>
      <c r="H51" s="116"/>
      <c r="I51" s="81" t="s">
        <v>129</v>
      </c>
      <c r="J51" s="180"/>
      <c r="K51" s="116"/>
      <c r="L51" s="81" t="s">
        <v>129</v>
      </c>
      <c r="M51" s="176"/>
      <c r="N51" s="92"/>
      <c r="O51" s="81" t="s">
        <v>129</v>
      </c>
      <c r="P51" s="176"/>
      <c r="Q51" s="92"/>
      <c r="R51" s="81" t="s">
        <v>129</v>
      </c>
      <c r="S51" s="176"/>
      <c r="T51" s="92"/>
      <c r="U51" s="81" t="s">
        <v>129</v>
      </c>
      <c r="V51" s="176"/>
      <c r="W51" s="92"/>
      <c r="X51" s="81" t="s">
        <v>129</v>
      </c>
      <c r="Y51" s="176"/>
      <c r="Z51" s="87"/>
      <c r="AA51" s="81" t="s">
        <v>129</v>
      </c>
      <c r="AB51" s="176"/>
      <c r="AC51" s="87"/>
      <c r="AD51" s="81" t="s">
        <v>129</v>
      </c>
      <c r="AE51" s="181"/>
      <c r="AF51" s="77"/>
      <c r="AG51" s="81" t="s">
        <v>129</v>
      </c>
      <c r="AH51" s="181"/>
    </row>
    <row r="52" spans="1:35" x14ac:dyDescent="0.35">
      <c r="A52" s="120" t="s">
        <v>67</v>
      </c>
      <c r="B52" s="347">
        <v>0</v>
      </c>
      <c r="C52" s="123">
        <v>0</v>
      </c>
      <c r="D52" s="180"/>
      <c r="E52" s="348">
        <v>0</v>
      </c>
      <c r="F52" s="289">
        <f>IF(E49&gt;=Assumptions!$C$19+2,E52/(Assumptions!$C$11-Assumptions!$C$21),E52/Assumptions!$C$11)</f>
        <v>0</v>
      </c>
      <c r="G52" s="290"/>
      <c r="H52" s="289">
        <f>IF($H$49=Assumptions!$C$19+2,Assumptions!$C$67*Assumptions!$C$68*(Assumptions!$C$11-Assumptions!$C$21),Assumptions!$C$67*Assumptions!$C$68*Assumptions!$C$11)</f>
        <v>2578500</v>
      </c>
      <c r="I52" s="289">
        <f>IF(H49&gt;=Assumptions!$C$19+2,H52/(Assumptions!$C$11-Assumptions!$C$21),H52/Assumptions!$C$11)</f>
        <v>6750</v>
      </c>
      <c r="J52" s="290"/>
      <c r="K52" s="289">
        <f>IF($K$49=Assumptions!$C$19+2,(Proforma!H52/Assumptions!$C$11)*(Assumptions!$C$11-Assumptions!$C$21)*(1+Assumptions!$C$69),Proforma!H52*(1+Assumptions!$C$69))</f>
        <v>2655855</v>
      </c>
      <c r="L52" s="289">
        <f>IF(K49&gt;=Assumptions!$C$19+2,K52/(Assumptions!$C$11-Assumptions!$C$21),K52/Assumptions!$C$11)</f>
        <v>6952.5</v>
      </c>
      <c r="M52" s="275"/>
      <c r="N52" s="289">
        <f>IF($N$49=Assumptions!$C$19+2,(Proforma!K52/Assumptions!$C$11)*(Assumptions!$C$11-Assumptions!$C$21)*(1+Assumptions!$C$69),Proforma!K52*(1+Assumptions!$C$69))</f>
        <v>2735530.65</v>
      </c>
      <c r="O52" s="289">
        <f>IF(N49&gt;=Assumptions!$C$19+2,N52/(Assumptions!$C$11-Assumptions!$C$21),N52/Assumptions!$C$11)</f>
        <v>7161.0749999999998</v>
      </c>
      <c r="P52" s="275"/>
      <c r="Q52" s="289">
        <f>IF($Q$49=Assumptions!$C$19+2,(Proforma!N52/Assumptions!$C$11)*(Assumptions!$C$11-Assumptions!$C$21)*(1+Assumptions!$C$69),Proforma!N52*(1+Assumptions!$C$69))</f>
        <v>2817596.5694999998</v>
      </c>
      <c r="R52" s="289">
        <f>IF(Q49&gt;=Assumptions!$C$19+2,Q52/(Assumptions!$C$11-Assumptions!$C$21),Q52/Assumptions!$C$11)</f>
        <v>7375.9072499999993</v>
      </c>
      <c r="S52" s="275"/>
      <c r="T52" s="289">
        <f>IF($T$49=Assumptions!$C$19+2,(Proforma!Q52/Assumptions!$C$11)*(Assumptions!$C$11-Assumptions!$C$21)*(1+Assumptions!$C$69),Proforma!Q52*(1+Assumptions!$C$69))</f>
        <v>2902124.466585</v>
      </c>
      <c r="U52" s="289">
        <f>IF(T49&gt;=Assumptions!$C$19+2,T52/(Assumptions!$C$11-Assumptions!$C$21),T52/Assumptions!$C$11)</f>
        <v>7597.1844675000002</v>
      </c>
      <c r="V52" s="275"/>
      <c r="W52" s="289">
        <f>IF($W$49=Assumptions!$C$19+2,(Proforma!T52/Assumptions!$C$11)*(Assumptions!$C$11-Assumptions!$C$21)*(1+Assumptions!$C$69),Proforma!T52*(1+Assumptions!$C$69))</f>
        <v>2989188.2005825499</v>
      </c>
      <c r="X52" s="289">
        <f>IF(W49&gt;=Assumptions!$C$19+2,W52/(Assumptions!$C$11-Assumptions!$C$21),W52/Assumptions!$C$11)</f>
        <v>7825.1000015250002</v>
      </c>
      <c r="Y52" s="275"/>
      <c r="Z52" s="289">
        <f>IF($Z$49=Assumptions!$C$19+2,(Proforma!W52/Assumptions!$C$11)*(Assumptions!$C$11-Assumptions!$C$21)*(1+Assumptions!$C$69),Proforma!W52*(1+Assumptions!$C$69))</f>
        <v>2143920.8984178198</v>
      </c>
      <c r="AA52" s="289">
        <f>IF(Z49&gt;=Assumptions!$C$19+2,Z52/(Assumptions!$C$11-Assumptions!$C$21),Z52/Assumptions!$C$11)</f>
        <v>8059.8530015707511</v>
      </c>
      <c r="AB52" s="275"/>
      <c r="AC52" s="289">
        <f>IF($AC$49=Assumptions!$C$19+2,(Proforma!Z52/Assumptions!$C$11)*(Assumptions!$C$11-Assumptions!$C$21)*(1+Assumptions!$C$69),Proforma!Z52*(1+Assumptions!$C$69))</f>
        <v>2208238.5253703543</v>
      </c>
      <c r="AD52" s="289">
        <f>IF(AC49&gt;=Assumptions!$C$19+2,AC52/(Assumptions!$C$11-Assumptions!$C$21),AC52/Assumptions!$C$11)</f>
        <v>8301.6485916178735</v>
      </c>
      <c r="AE52" s="276"/>
      <c r="AF52" s="289">
        <f>IF($AF$49=Assumptions!$C$19+2,(Proforma!AC52/Assumptions!$C$11)*(Assumptions!$C$11-Assumptions!$C$21)*(1+Assumptions!$C$69),Proforma!AC52*(1+Assumptions!$C$69))*(2+Assumptions!$C$69)</f>
        <v>4617205.9326968733</v>
      </c>
      <c r="AG52" s="289">
        <f>IF(AF49&gt;=Assumptions!$C$19+2,AF52/(Assumptions!$C$11-Assumptions!$C$21),AF52/Assumptions!$C$11)</f>
        <v>17357.917040213808</v>
      </c>
      <c r="AH52" s="290"/>
      <c r="AI52" s="291"/>
    </row>
    <row r="53" spans="1:35" x14ac:dyDescent="0.35">
      <c r="A53" s="121" t="s">
        <v>106</v>
      </c>
      <c r="B53" s="124">
        <f>SUM(B52)</f>
        <v>0</v>
      </c>
      <c r="C53" s="124">
        <f>SUM(C52)</f>
        <v>0</v>
      </c>
      <c r="D53" s="180"/>
      <c r="E53" s="292">
        <f>SUM(E52)</f>
        <v>0</v>
      </c>
      <c r="F53" s="292">
        <f>SUM(F52)</f>
        <v>0</v>
      </c>
      <c r="G53" s="290"/>
      <c r="H53" s="292">
        <f>SUM(H52)</f>
        <v>2578500</v>
      </c>
      <c r="I53" s="292">
        <f>SUM(I52)</f>
        <v>6750</v>
      </c>
      <c r="J53" s="290"/>
      <c r="K53" s="292">
        <f>SUM(K52)</f>
        <v>2655855</v>
      </c>
      <c r="L53" s="292">
        <f>SUM(L52)</f>
        <v>6952.5</v>
      </c>
      <c r="M53" s="275"/>
      <c r="N53" s="292">
        <f>SUM(N52)</f>
        <v>2735530.65</v>
      </c>
      <c r="O53" s="292">
        <f>SUM(O52)</f>
        <v>7161.0749999999998</v>
      </c>
      <c r="P53" s="275"/>
      <c r="Q53" s="292">
        <f>SUM(Q52)</f>
        <v>2817596.5694999998</v>
      </c>
      <c r="R53" s="292">
        <f>SUM(R52)</f>
        <v>7375.9072499999993</v>
      </c>
      <c r="S53" s="275"/>
      <c r="T53" s="292">
        <f>SUM(T52)</f>
        <v>2902124.466585</v>
      </c>
      <c r="U53" s="292">
        <f>SUM(U52)</f>
        <v>7597.1844675000002</v>
      </c>
      <c r="V53" s="275"/>
      <c r="W53" s="292">
        <f>SUM(W52)</f>
        <v>2989188.2005825499</v>
      </c>
      <c r="X53" s="292">
        <f>SUM(X52)</f>
        <v>7825.1000015250002</v>
      </c>
      <c r="Y53" s="275"/>
      <c r="Z53" s="292">
        <f>SUM(Z52)</f>
        <v>2143920.8984178198</v>
      </c>
      <c r="AA53" s="292">
        <f>SUM(AA52)</f>
        <v>8059.8530015707511</v>
      </c>
      <c r="AB53" s="275"/>
      <c r="AC53" s="292">
        <f>SUM(AC52)</f>
        <v>2208238.5253703543</v>
      </c>
      <c r="AD53" s="292">
        <f>SUM(AD52)</f>
        <v>8301.6485916178735</v>
      </c>
      <c r="AE53" s="276"/>
      <c r="AF53" s="292">
        <f>SUM(AF52)</f>
        <v>4617205.9326968733</v>
      </c>
      <c r="AG53" s="292">
        <f>SUM(AG52)</f>
        <v>17357.917040213808</v>
      </c>
      <c r="AH53" s="290"/>
      <c r="AI53" s="291"/>
    </row>
    <row r="54" spans="1:35" x14ac:dyDescent="0.35">
      <c r="A54" s="115"/>
      <c r="B54" s="116"/>
      <c r="C54" s="116"/>
      <c r="D54" s="180"/>
      <c r="E54" s="205"/>
      <c r="F54" s="116"/>
      <c r="G54" s="180"/>
      <c r="H54" s="205"/>
      <c r="I54" s="126">
        <f>IFERROR((I53-F53)/F53,0)</f>
        <v>0</v>
      </c>
      <c r="J54" s="180"/>
      <c r="K54" s="204"/>
      <c r="L54" s="126">
        <f>(L53-I53)/I53</f>
        <v>0.03</v>
      </c>
      <c r="M54" s="176"/>
      <c r="N54" s="204"/>
      <c r="O54" s="126">
        <f>(O53-L53)/L53</f>
        <v>2.9999999999999975E-2</v>
      </c>
      <c r="P54" s="176"/>
      <c r="Q54" s="204"/>
      <c r="R54" s="126">
        <f>(R53-O53)/O53</f>
        <v>2.9999999999999926E-2</v>
      </c>
      <c r="S54" s="176"/>
      <c r="T54" s="204"/>
      <c r="U54" s="126">
        <f>(U53-R53)/R53</f>
        <v>3.0000000000000127E-2</v>
      </c>
      <c r="V54" s="176"/>
      <c r="W54" s="204"/>
      <c r="X54" s="126">
        <f>(X53-U53)/U53</f>
        <v>2.9999999999999992E-2</v>
      </c>
      <c r="Y54" s="176"/>
      <c r="Z54" s="204"/>
      <c r="AA54" s="126">
        <f>(AA53-X53)/X53</f>
        <v>3.0000000000000117E-2</v>
      </c>
      <c r="AB54" s="176"/>
      <c r="AC54" s="204"/>
      <c r="AD54" s="126">
        <f>(AD53-AA53)/AA53</f>
        <v>2.9999999999999992E-2</v>
      </c>
      <c r="AE54" s="181"/>
      <c r="AF54" s="204"/>
      <c r="AG54" s="126">
        <f>(AG53-AD53)/AD53</f>
        <v>1.0908999999999995</v>
      </c>
      <c r="AH54" s="187"/>
      <c r="AI54" s="349"/>
    </row>
    <row r="55" spans="1:35" x14ac:dyDescent="0.35">
      <c r="A55" s="74" t="s">
        <v>107</v>
      </c>
      <c r="B55" s="116"/>
      <c r="C55" s="116"/>
      <c r="D55" s="180"/>
      <c r="E55" s="205"/>
      <c r="F55" s="116"/>
      <c r="G55" s="180"/>
      <c r="H55" s="204"/>
      <c r="I55" s="117"/>
      <c r="J55" s="180"/>
      <c r="K55" s="204"/>
      <c r="L55" s="117"/>
      <c r="M55" s="176"/>
      <c r="N55" s="204"/>
      <c r="O55" s="117"/>
      <c r="P55" s="176"/>
      <c r="Q55" s="204"/>
      <c r="R55" s="117"/>
      <c r="S55" s="176"/>
      <c r="T55" s="204"/>
      <c r="U55" s="117"/>
      <c r="V55" s="176"/>
      <c r="W55" s="204"/>
      <c r="X55" s="117"/>
      <c r="Y55" s="176"/>
      <c r="Z55" s="204"/>
      <c r="AA55" s="117"/>
      <c r="AB55" s="176"/>
      <c r="AC55" s="204"/>
      <c r="AD55" s="117"/>
      <c r="AE55" s="181"/>
      <c r="AF55" s="204"/>
      <c r="AG55" s="117"/>
      <c r="AH55" s="180"/>
    </row>
    <row r="56" spans="1:35" x14ac:dyDescent="0.35">
      <c r="A56" s="119" t="s">
        <v>249</v>
      </c>
      <c r="B56" s="289">
        <v>0</v>
      </c>
      <c r="C56" s="289">
        <v>0</v>
      </c>
      <c r="D56" s="290"/>
      <c r="E56" s="289">
        <f>IF($E$49=Assumptions!$C$19,Assumptions!$B$81*(Assumptions!$C$9-Assumptions!$C$20),Assumptions!$B$81*Assumptions!$C$9)</f>
        <v>16280</v>
      </c>
      <c r="F56" s="289">
        <f>IF($E$49&gt;=Assumptions!$C$19+1,E56/(Assumptions!$C$9-Assumptions!$C$21),E56/Assumptions!$C$9)</f>
        <v>40</v>
      </c>
      <c r="G56" s="290"/>
      <c r="H56" s="289">
        <f>IF(AND($H$49=Assumptions!$C$19+1,Assumptions!$D$81=1),(Proforma!$E$56/Assumptions!$C$9)*(Assumptions!$C$9-Assumptions!$C$20)*(1+Assumptions!$B$95),IF(AND($H$49=Assumptions!$C$19+1,Assumptions!$D$81=2),(Proforma!$E$56/Assumptions!$C$9)*(Assumptions!$C$9-Assumptions!$C$20),IF(Assumptions!$D$81=1,Proforma!$E$56*(1+Assumptions!$B$95),Proforma!$E$56)))</f>
        <v>16605.599999999999</v>
      </c>
      <c r="I56" s="289">
        <f>IF($H$49&gt;=Assumptions!$C$19+1,H56/(Assumptions!$C$9-Assumptions!$C$20),H56/Assumptions!$C$9)</f>
        <v>40.799999999999997</v>
      </c>
      <c r="J56" s="290"/>
      <c r="K56" s="289">
        <f>IF(AND($K$49=Assumptions!$C$19+1,Assumptions!$D$81=1),(Proforma!$H$56/Assumptions!$C$9)*(Assumptions!$C$9-Assumptions!$C$20)*(1+Assumptions!$B$95),IF(AND($K$49=Assumptions!$C$19+1,Assumptions!$D$81=2),(Proforma!$H$56/Assumptions!$C$9)*(Assumptions!$C$9-Assumptions!$C$20),IF(Assumptions!$D$81=1,Proforma!$H$56*(1+Assumptions!$B$95),Proforma!$H$56)))</f>
        <v>16937.712</v>
      </c>
      <c r="L56" s="289">
        <f>IF($K$49&gt;=Assumptions!$C$19+1,K56/(Assumptions!$C$9-Assumptions!$C$20),K56/Assumptions!$C$9)</f>
        <v>41.616</v>
      </c>
      <c r="M56" s="275"/>
      <c r="N56" s="289">
        <f>IF(AND($N$49=Assumptions!$C$19+1,Assumptions!$D$81=1),(Proforma!$K$56/Assumptions!$C$9)*(Assumptions!$C$9-Assumptions!$C$20)*(1+Assumptions!$B$95),IF(AND($N$49=Assumptions!$C$19,Assumptions!$D$81=2),(Proforma!$K$56/Assumptions!$C$9)*(Assumptions!$C$9-Assumptions!$C$20),IF(Assumptions!$D$81=1,Proforma!$K$56*(1+Assumptions!$B$95),Proforma!$K$56)))</f>
        <v>17276.466240000002</v>
      </c>
      <c r="O56" s="289">
        <f>IF($N$49&gt;=Assumptions!$C$19+1,N56/(Assumptions!$C$9-Assumptions!$C$20),N56/Assumptions!$C$9)</f>
        <v>42.448320000000002</v>
      </c>
      <c r="P56" s="275"/>
      <c r="Q56" s="289">
        <f>IF(AND($Q$49=Assumptions!$C$19+1,Assumptions!$D$81=1),(Proforma!$N$56/Assumptions!$C$9)*(Assumptions!$C$9-Assumptions!$C$20)*(1+Assumptions!$B$95),IF(AND($Q$49=Assumptions!$C$19,Assumptions!$D$81=2),(Proforma!$N$56/Assumptions!$C$9)*(Assumptions!$C$9-Assumptions!$C$20),IF(Assumptions!$D$81=1,Proforma!$N$56*(1+Assumptions!$B$95),Proforma!$N$56)))</f>
        <v>17621.995564800003</v>
      </c>
      <c r="R56" s="289">
        <f>IF($Q$49&gt;=Assumptions!$C$19+1,Q56/(Assumptions!$C$9-Assumptions!$C$20),Q56/Assumptions!$C$9)</f>
        <v>43.297286400000004</v>
      </c>
      <c r="S56" s="275"/>
      <c r="T56" s="289">
        <f>IF(AND($T$49=Assumptions!$C$19+1,Assumptions!$D$81=1),(Proforma!$Q$56/Assumptions!$C$9)*(Assumptions!$C$9-Assumptions!$C$20)*(1+Assumptions!$B$95),IF(AND($T$49=Assumptions!$C$19,Assumptions!$D$81=2),(Proforma!$Q$56/Assumptions!$C$9)*(Assumptions!$C$9-Assumptions!$C$20),IF(Assumptions!$D$81=1,Proforma!$Q$56*(1+Assumptions!$B$95),Proforma!$Q$56)))</f>
        <v>17974.435476096005</v>
      </c>
      <c r="U56" s="289">
        <f>IF($T$49&gt;=Assumptions!$C$19+1,T56/(Assumptions!$C$9-Assumptions!$C$20),T56/Assumptions!$C$9)</f>
        <v>44.163232128000011</v>
      </c>
      <c r="V56" s="275"/>
      <c r="W56" s="289">
        <f>IF(AND($W$49=Assumptions!$C$19+1,Assumptions!$D$81=1),(Proforma!$T$56/Assumptions!$C$9)*(Assumptions!$C$9-Assumptions!$C$20)*(1+Assumptions!$B$95),IF(AND($W$49=Assumptions!$C$19,Assumptions!$D$81=2),(Proforma!$T$56/Assumptions!$C$9)*(Assumptions!$C$9-Assumptions!$C$20),IF(Assumptions!$D$81=1,Proforma!$T$56*(1+Assumptions!$B$95),Proforma!$T$56)))</f>
        <v>12928.344573150724</v>
      </c>
      <c r="X56" s="289">
        <f>IF($W$49&gt;=Assumptions!$C$19+1,W56/(Assumptions!$C$9-Assumptions!$C$20),W56/Assumptions!$C$9)</f>
        <v>45.046496770560012</v>
      </c>
      <c r="Y56" s="275"/>
      <c r="Z56" s="289">
        <f>IF(AND($Z$49=Assumptions!$C$19+1,Assumptions!$D$81=1),(Proforma!$W$56/Assumptions!$C$9)*(Assumptions!$C$9-Assumptions!$C$20)*(1+Assumptions!$B$95),IF(AND($Z$49=Assumptions!$C$19,Assumptions!$D$81=2),(Proforma!$W$56/Assumptions!$C$9)*(Assumptions!$C$9-Assumptions!$C$20),IF(Assumptions!$D$81=1,Proforma!$W$56*(1+Assumptions!$B$95),Proforma!$W$56)))</f>
        <v>13186.911464613739</v>
      </c>
      <c r="AA56" s="289">
        <f>IF($Z$49&gt;=Assumptions!$C$19+1,Z56/(Assumptions!$C$9-Assumptions!$C$20),Z56/Assumptions!$C$9)</f>
        <v>45.947426705971218</v>
      </c>
      <c r="AB56" s="275"/>
      <c r="AC56" s="289">
        <f>IF(AND($AC$49=Assumptions!$C$19+1,Assumptions!$D$81=1),(Proforma!$Z$56/Assumptions!$C$9)*(Assumptions!$C$9-Assumptions!$C$20)*(1+Assumptions!$B$95),IF(AND($AC$49=Assumptions!$C$19,Assumptions!$D$81=2),(Proforma!$Z$56/Assumptions!$C$9)*(Assumptions!$C$9-Assumptions!$C$20),IF(Assumptions!$D$81=1,Proforma!$Z$56*(1+Assumptions!$B$95),Proforma!$Z$56)))</f>
        <v>13450.649693906014</v>
      </c>
      <c r="AD56" s="289">
        <f>IF($AC$49&gt;=Assumptions!$C$19+1,AC56/(Assumptions!$C$9-Assumptions!$C$20),AC56/Assumptions!$C$9)</f>
        <v>46.86637524009064</v>
      </c>
      <c r="AE56" s="276"/>
      <c r="AF56" s="289">
        <f>IF(AND($AF$49=Assumptions!$C$19+1,Assumptions!$D$81=1),(Proforma!$AC$56/Assumptions!$C$9)*(Assumptions!$C$9-Assumptions!$C$20)*(1+Assumptions!$B$95),IF(AND($AF$49=Assumptions!$C$19,Assumptions!$D$81=2),(Proforma!$AC$56/Assumptions!$C$9)*(Assumptions!$C$9-Assumptions!$C$20),IF(Assumptions!$D$81=1,Proforma!$AC$56*(1+Assumptions!$B$95),Proforma!$AC$56)))</f>
        <v>13719.662687784135</v>
      </c>
      <c r="AG56" s="289">
        <f>IF($AF$49&gt;=Assumptions!$C$19+1,AF56/(Assumptions!$C$9-Assumptions!$C$20),AF56/Assumptions!$C$9)</f>
        <v>47.803702744892455</v>
      </c>
      <c r="AH56" s="290"/>
    </row>
    <row r="57" spans="1:35" x14ac:dyDescent="0.35">
      <c r="A57" s="119" t="s">
        <v>250</v>
      </c>
      <c r="B57" s="289">
        <v>0</v>
      </c>
      <c r="C57" s="289">
        <v>0</v>
      </c>
      <c r="D57" s="290"/>
      <c r="E57" s="289">
        <f>IF($E$49=Assumptions!$C$19,Assumptions!$B$82*(Assumptions!$C$9-Assumptions!$C$20),Assumptions!$B$82*Assumptions!$C$9)</f>
        <v>24420</v>
      </c>
      <c r="F57" s="289">
        <f>IF($E$49&gt;=Assumptions!$C$19+1,E57/(Assumptions!$C$9-Assumptions!$C$21),E57/Assumptions!$C$9)</f>
        <v>60</v>
      </c>
      <c r="G57" s="290"/>
      <c r="H57" s="289">
        <f>IF(AND($H$49=Assumptions!$C$19+1,Assumptions!$D$82=1),(Proforma!$E$57/Assumptions!$C$9)*(Assumptions!$C$9-Assumptions!$C$20)*(1+Assumptions!$B$95),IF(AND($H$49=Assumptions!$C$19+1,Assumptions!$D$82=2),(Proforma!$E$57/Assumptions!$C$9)*(Assumptions!$C$9-Assumptions!$C$20),IF(Assumptions!$D$82=1,Proforma!$E$57*(1+Assumptions!$B$95),Proforma!$E$57)))</f>
        <v>24420</v>
      </c>
      <c r="I57" s="289">
        <f>IF($H$49&gt;=Assumptions!$C$19+1,H57/(Assumptions!$C$9-Assumptions!$C$20),H57/Assumptions!$C$9)</f>
        <v>60</v>
      </c>
      <c r="J57" s="290"/>
      <c r="K57" s="289">
        <f>IF(AND($K$49=Assumptions!$C$19+1,Assumptions!$D$82=1),(Proforma!$H$57/Assumptions!$C$9)*(Assumptions!$C$9-Assumptions!$C$20)*(1+Assumptions!$B$95),IF(AND($K$49=Assumptions!$C$19+1,Assumptions!$D$82=2),(Proforma!$H$57/Assumptions!$C$9)*(Assumptions!$C$9-Assumptions!$C$20),IF(Assumptions!$D$82=1,Proforma!$H$57*(1+Assumptions!$B$95),Proforma!$H$57)))</f>
        <v>24420</v>
      </c>
      <c r="L57" s="289">
        <f>IF($K$49&gt;=Assumptions!$C$19+1,K57/(Assumptions!$C$9-Assumptions!$C$20),K57/Assumptions!$C$9)</f>
        <v>60</v>
      </c>
      <c r="M57" s="275"/>
      <c r="N57" s="289">
        <f>IF(AND($N$49=Assumptions!$C$19+1,Assumptions!$D$82=1),(Proforma!$K$57/Assumptions!$C$9)*(Assumptions!$C$9-Assumptions!$C$20)*(1+Assumptions!$B$95),IF(AND($N$49=Assumptions!$C$19,Assumptions!$D$82=2),(Proforma!$K$57/Assumptions!$C$9)*(Assumptions!$C$9-Assumptions!$C$20),IF(Assumptions!$D$82=1,Proforma!$K$57*(1+Assumptions!$B$95),Proforma!$K$57)))</f>
        <v>24420</v>
      </c>
      <c r="O57" s="289">
        <f>IF($N$49&gt;=Assumptions!$C$19+1,N57/(Assumptions!$C$9-Assumptions!$C$20),N57/Assumptions!$C$9)</f>
        <v>60</v>
      </c>
      <c r="P57" s="275"/>
      <c r="Q57" s="289">
        <f>IF(AND($Q$49=Assumptions!$C$19+1,Assumptions!$D$82=1),(Proforma!$N$57/Assumptions!$C$9)*(Assumptions!$C$9-Assumptions!$C$20)*(1+Assumptions!$B$95),IF(AND($Q$49=Assumptions!$C$19,Assumptions!$D$82=2),(Proforma!$N$57/Assumptions!$C$9)*(Assumptions!$C$9-Assumptions!$C$20),IF(Assumptions!$D$82=1,Proforma!$N$57*(1+Assumptions!$B$95),Proforma!$N$57)))</f>
        <v>24420</v>
      </c>
      <c r="R57" s="289">
        <f>IF($Q$49&gt;=Assumptions!$C$19+1,Q57/(Assumptions!$C$9-Assumptions!$C$20),Q57/Assumptions!$C$9)</f>
        <v>60</v>
      </c>
      <c r="S57" s="275"/>
      <c r="T57" s="289">
        <f>IF(AND($T$49=Assumptions!$C$19+1,Assumptions!$D$82=1),(Proforma!$Q$57/Assumptions!$C$9)*(Assumptions!$C$9-Assumptions!$C$20)*(1+Assumptions!$B$95),IF(AND($T$49=Assumptions!$C$19,Assumptions!$D$82=2),(Proforma!$Q$57/Assumptions!$C$9)*(Assumptions!$C$9-Assumptions!$C$20),IF(Assumptions!$D$82=1,Proforma!$Q$57*(1+Assumptions!$B$95),Proforma!$Q$57)))</f>
        <v>17220</v>
      </c>
      <c r="U57" s="289">
        <f>IF($T$49&gt;=Assumptions!$C$19+1,T57/(Assumptions!$C$9-Assumptions!$C$20),T57/Assumptions!$C$9)</f>
        <v>42.309582309582311</v>
      </c>
      <c r="V57" s="275"/>
      <c r="W57" s="289">
        <f>IF(AND($W$49=Assumptions!$C$19+1,Assumptions!$D$82=1),(Proforma!$T$57/Assumptions!$C$9)*(Assumptions!$C$9-Assumptions!$C$20)*(1+Assumptions!$B$95),IF(AND($W$49=Assumptions!$C$19,Assumptions!$D$82=2),(Proforma!$T$57/Assumptions!$C$9)*(Assumptions!$C$9-Assumptions!$C$20),IF(Assumptions!$D$82=1,Proforma!$T$57*(1+Assumptions!$B$95),Proforma!$T$57)))</f>
        <v>17220</v>
      </c>
      <c r="X57" s="289">
        <f>IF($W$49&gt;=Assumptions!$C$19+1,W57/(Assumptions!$C$9-Assumptions!$C$20),W57/Assumptions!$C$9)</f>
        <v>60</v>
      </c>
      <c r="Y57" s="275"/>
      <c r="Z57" s="289">
        <f>IF(AND($Z$49=Assumptions!$C$19+1,Assumptions!$D$82=1),(Proforma!$W$57/Assumptions!$C$9)*(Assumptions!$C$9-Assumptions!$C$20)*(1+Assumptions!$B$95),IF(AND($Z$49=Assumptions!$C$19,Assumptions!$D$82=2),(Proforma!$W$57/Assumptions!$C$9)*(Assumptions!$C$9-Assumptions!$C$20),IF(Assumptions!$D$82=1,Proforma!$W$57*(1+Assumptions!$B$95),Proforma!$W$57)))</f>
        <v>17220</v>
      </c>
      <c r="AA57" s="289">
        <f>IF($Z$49&gt;=Assumptions!$C$19+1,Z57/(Assumptions!$C$9-Assumptions!$C$20),Z57/Assumptions!$C$9)</f>
        <v>60</v>
      </c>
      <c r="AB57" s="275"/>
      <c r="AC57" s="289">
        <f>IF(AND($AC$49=Assumptions!$C$19+1,Assumptions!$D$82=1),(Proforma!$Z$57/Assumptions!$C$9)*(Assumptions!$C$9-Assumptions!$C$20)*(1+Assumptions!$B$95),IF(AND($AC$49=Assumptions!$C$19,Assumptions!$D$82=2),(Proforma!$Z$57/Assumptions!$C$9)*(Assumptions!$C$9-Assumptions!$C$20),IF(Assumptions!$D$82=1,Proforma!$Z$57*(1+Assumptions!$B$95),Proforma!$Z$57)))</f>
        <v>17220</v>
      </c>
      <c r="AD57" s="289">
        <f>IF($AC$49&gt;=Assumptions!$C$19+1,AC57/(Assumptions!$C$9-Assumptions!$C$20),AC57/Assumptions!$C$9)</f>
        <v>60</v>
      </c>
      <c r="AE57" s="276"/>
      <c r="AF57" s="289">
        <f>IF(AND($AF$49=Assumptions!$C$19+1,Assumptions!$D$82=1),(Proforma!$AC$57/Assumptions!$C$9)*(Assumptions!$C$9-Assumptions!$C$20)*(1+Assumptions!$B$95),IF(AND($AF$49=Assumptions!$C$19,Assumptions!$D$82=2),(Proforma!$AC$57/Assumptions!$C$9)*(Assumptions!$C$9-Assumptions!$C$20),IF(Assumptions!$D$82=1,Proforma!$AC$57*(1+Assumptions!$B$95),Proforma!$AC$57)))</f>
        <v>17220</v>
      </c>
      <c r="AG57" s="289">
        <f>IF($AF$49&gt;=Assumptions!$C$19+1,AF57/(Assumptions!$C$9-Assumptions!$C$20),AF57/Assumptions!$C$9)</f>
        <v>60</v>
      </c>
      <c r="AH57" s="290"/>
    </row>
    <row r="58" spans="1:35" x14ac:dyDescent="0.35">
      <c r="A58" s="119" t="s">
        <v>251</v>
      </c>
      <c r="B58" s="289">
        <v>0</v>
      </c>
      <c r="C58" s="289">
        <v>0</v>
      </c>
      <c r="D58" s="290"/>
      <c r="E58" s="289">
        <f>IF($E$49=Assumptions!$C$19,Assumptions!$B$83*(Assumptions!$C$9-Assumptions!$C$20),Assumptions!$B$83*Assumptions!$C$9)</f>
        <v>8140</v>
      </c>
      <c r="F58" s="289">
        <f>IF($E$49&gt;=Assumptions!$C$19+1,E58/(Assumptions!$C$9-Assumptions!$C$21),E58/Assumptions!$C$9)</f>
        <v>20</v>
      </c>
      <c r="G58" s="290"/>
      <c r="H58" s="289">
        <f>IF(AND($H$49=Assumptions!$C$19+1,Assumptions!$D$83=1),(Proforma!$E$58/Assumptions!$C$9)*(Assumptions!$C$9-Assumptions!$C$20)*(1+Assumptions!$B$95),IF(AND($H$49=Assumptions!$C$19+1,Assumptions!$D$83=2),(Proforma!$E$58/Assumptions!$C$9)*(Assumptions!$C$9-Assumptions!$C$20),IF(Assumptions!$D$83=1,Proforma!$E$58*(1+Assumptions!$B$95),Proforma!$E$58)))</f>
        <v>8302.7999999999993</v>
      </c>
      <c r="I58" s="289">
        <f>IF($H$49&gt;=Assumptions!$C$19+1,H58/(Assumptions!$C$9-Assumptions!$C$20),H58/Assumptions!$C$9)</f>
        <v>20.399999999999999</v>
      </c>
      <c r="J58" s="290"/>
      <c r="K58" s="289">
        <f>IF(AND($K$49=Assumptions!$C$19+1,Assumptions!$D$83=1),(Proforma!$H$58/Assumptions!$C$9)*(Assumptions!$C$9-Assumptions!$C$20)*(1+Assumptions!$B$95),IF(AND($K$49=Assumptions!$C$19+1,Assumptions!$D$83=2),(Proforma!$H$58/Assumptions!$C$9)*(Assumptions!$C$9-Assumptions!$C$20),IF(Assumptions!$D$83=1,Proforma!$H$58*(1+Assumptions!$B$95),Proforma!$H$58)))</f>
        <v>8468.8559999999998</v>
      </c>
      <c r="L58" s="289">
        <f>IF($K$49&gt;=Assumptions!$C$19+1,K58/(Assumptions!$C$9-Assumptions!$C$20),K58/Assumptions!$C$9)</f>
        <v>20.808</v>
      </c>
      <c r="M58" s="275"/>
      <c r="N58" s="289">
        <f>IF(AND($N$49=Assumptions!$C$19+1,Assumptions!$D$83=1),(Proforma!$K$58/Assumptions!$C$9)*(Assumptions!$C$9-Assumptions!$C$20)*(1+Assumptions!$B$95),IF(AND($N$49&gt;Assumptions!$C$19,Assumptions!$D$83=2),(Proforma!$K$58/Assumptions!$C$9)*(Assumptions!$C$9-Assumptions!$C$20),IF(Assumptions!$D$83=1,Proforma!$K$58*(1+Assumptions!$B$95),Proforma!$K$58)))</f>
        <v>8638.2331200000008</v>
      </c>
      <c r="O58" s="289">
        <f>IF($N$49&gt;=Assumptions!$C$19+1,N58/(Assumptions!$C$9-Assumptions!$C$20),N58/Assumptions!$C$9)</f>
        <v>21.224160000000001</v>
      </c>
      <c r="P58" s="275"/>
      <c r="Q58" s="289">
        <f>IF(AND($Q$49=Assumptions!$C$19+1,Assumptions!$D$83=1),(Proforma!$N$58/Assumptions!$C$9)*(Assumptions!$C$9-Assumptions!$C$20)*(1+Assumptions!$B$95),IF(AND($Q$49&gt;Assumptions!$C$19,Assumptions!$D$83=2),(Proforma!$N$58/Assumptions!$C$9)*(Assumptions!$C$9-Assumptions!$C$20),IF(Assumptions!$D$83=1,Proforma!$N$58*(1+Assumptions!$B$95),Proforma!$N$58)))</f>
        <v>8810.9977824000016</v>
      </c>
      <c r="R58" s="289">
        <f>IF($Q$49&gt;=Assumptions!$C$19+1,Q58/(Assumptions!$C$9-Assumptions!$C$20),Q58/Assumptions!$C$9)</f>
        <v>21.648643200000002</v>
      </c>
      <c r="S58" s="275"/>
      <c r="T58" s="289">
        <f>IF(AND($T$49=Assumptions!$C$19+1,Assumptions!$D$83=1),(Proforma!$Q$58/Assumptions!$C$9)*(Assumptions!$C$9-Assumptions!$C$20)*(1+Assumptions!$B$95),IF(AND($T$49&gt;Assumptions!$C$19,Assumptions!$D$83=2),(Proforma!$Q$58/Assumptions!$C$9)*(Assumptions!$C$9-Assumptions!$C$20),IF(Assumptions!$D$83=1,Proforma!$Q$58*(1+Assumptions!$B$95),Proforma!$Q$58)))</f>
        <v>8987.2177380480025</v>
      </c>
      <c r="U58" s="289">
        <f>IF($T$49&gt;=Assumptions!$C$19+1,T58/(Assumptions!$C$9-Assumptions!$C$20),T58/Assumptions!$C$9)</f>
        <v>22.081616064000006</v>
      </c>
      <c r="V58" s="275"/>
      <c r="W58" s="289">
        <f>IF(AND($W$49=Assumptions!$C$19+1,Assumptions!$D$83=1),(Proforma!$T$58/Assumptions!$C$9)*(Assumptions!$C$9-Assumptions!$C$20)*(1+Assumptions!$B$95),IF(AND($W$49&gt;Assumptions!$C$19,Assumptions!$D$83=2),(Proforma!$T$58/Assumptions!$C$9)*(Assumptions!$C$9-Assumptions!$C$20),IF(Assumptions!$D$83=1,Proforma!$T$58*(1+Assumptions!$B$95),Proforma!$T$58)))</f>
        <v>6464.1722865753618</v>
      </c>
      <c r="X58" s="289">
        <f>IF($W$49&gt;=Assumptions!$C$19+1,W58/(Assumptions!$C$9-Assumptions!$C$20),W58/Assumptions!$C$9)</f>
        <v>22.523248385280006</v>
      </c>
      <c r="Y58" s="275"/>
      <c r="Z58" s="289">
        <f>IF(AND($Z$49=Assumptions!$C$19+1,Assumptions!$D$83=1),(Proforma!$W$58/Assumptions!$C$9)*(Assumptions!$C$9-Assumptions!$C$20)*(1+Assumptions!$B$95),IF(AND($Z$49&gt;Assumptions!$C$19,Assumptions!$D$83=2),(Proforma!$W$58/Assumptions!$C$9)*(Assumptions!$C$9-Assumptions!$C$20),IF(Assumptions!$D$83=1,Proforma!$W$58*(1+Assumptions!$B$95),Proforma!$W$58)))</f>
        <v>6593.4557323068693</v>
      </c>
      <c r="AA58" s="289">
        <f>IF($Z$49&gt;=Assumptions!$C$19+1,Z58/(Assumptions!$C$9-Assumptions!$C$20),Z58/Assumptions!$C$9)</f>
        <v>22.973713352985609</v>
      </c>
      <c r="AB58" s="275"/>
      <c r="AC58" s="289">
        <f>IF(AND($AC$49=Assumptions!$C$19+1,Assumptions!$D$83=1),(Proforma!$Z$58/Assumptions!$C$9)*(Assumptions!$C$9-Assumptions!$C$20)*(1+Assumptions!$B$95),IF(AND($AC$49&gt;Assumptions!$C$19,Assumptions!$D$83=2),(Proforma!$Z$58/Assumptions!$C$9)*(Assumptions!$C$9-Assumptions!$C$20),IF(Assumptions!$D$83=1,Proforma!$Z$58*(1+Assumptions!$B$95),Proforma!$Z$58)))</f>
        <v>6725.3248469530072</v>
      </c>
      <c r="AD58" s="289">
        <f>IF($AC$49&gt;=Assumptions!$C$19+1,AC58/(Assumptions!$C$9-Assumptions!$C$20),AC58/Assumptions!$C$9)</f>
        <v>23.43318762004532</v>
      </c>
      <c r="AE58" s="276"/>
      <c r="AF58" s="289">
        <f>IF(AND($AF$49=Assumptions!$C$19+1,Assumptions!$D$83=1),(Proforma!$AC$58/Assumptions!$C$9)*(Assumptions!$C$9-Assumptions!$C$20)*(1+Assumptions!$B$95),IF(AND($AF$49&gt;Assumptions!$C$19,Assumptions!$D$83=2),(Proforma!$AC$58/Assumptions!$C$9)*(Assumptions!$C$9-Assumptions!$C$20),IF(Assumptions!$D$83=1,Proforma!$AC$58*(1+Assumptions!$B$95),Proforma!$AC$58)))</f>
        <v>6859.8313438920677</v>
      </c>
      <c r="AG58" s="289">
        <f>IF($AF$49&gt;=Assumptions!$C$19+1,AF58/(Assumptions!$C$9-Assumptions!$C$20),AF58/Assumptions!$C$9)</f>
        <v>23.901851372446227</v>
      </c>
      <c r="AH58" s="290"/>
    </row>
    <row r="59" spans="1:35" x14ac:dyDescent="0.35">
      <c r="A59" s="119" t="s">
        <v>252</v>
      </c>
      <c r="B59" s="289">
        <v>0</v>
      </c>
      <c r="C59" s="289">
        <v>0</v>
      </c>
      <c r="D59" s="290"/>
      <c r="E59" s="289">
        <f>IF(E52=Assumptions!$C$19,Assumptions!$B$84*(Assumptions!$C$11-Assumptions!$C$21),Assumptions!$B$84*Assumptions!$C$11)</f>
        <v>24830</v>
      </c>
      <c r="F59" s="289">
        <f>IF($E$49&gt;=Assumptions!$C$19+1,E59/(Assumptions!$C$11-Assumptions!$C$21),E59/Assumptions!$C$11)</f>
        <v>65</v>
      </c>
      <c r="G59" s="290"/>
      <c r="H59" s="289">
        <f>IF(AND($H$49=Assumptions!$C$19+1,Assumptions!$D$84=1),(Proforma!$E$59/Assumptions!$C$11)*(Assumptions!$C$11-Assumptions!$C$21)*(1+Assumptions!$B$95),IF(AND($H$49=Assumptions!$C$19+1,Assumptions!$D$84=2),(Proforma!$E$59/Assumptions!$C$11)*(Assumptions!$C$11-Assumptions!$C$21),IF(Assumptions!$D$84=1,Proforma!$E$59*(1+Assumptions!$B$95),Proforma!$E$59)))</f>
        <v>24830</v>
      </c>
      <c r="I59" s="289">
        <f>IF($H$49&gt;=Assumptions!$C$19+1,H59/(Assumptions!$C$11-Assumptions!$C$21),H59/Assumptions!$C$11)</f>
        <v>65</v>
      </c>
      <c r="J59" s="290"/>
      <c r="K59" s="289">
        <f>IF(AND($K$49=Assumptions!$C$19+1,Assumptions!$D$84=1),(Proforma!$H$59/Assumptions!$C$11)*(Assumptions!$C$11-Assumptions!$C$21)*(1+Assumptions!$B$95),IF(AND($K$49=Assumptions!$C$19+1,Assumptions!$D$84=2),(Proforma!$H$59/Assumptions!$C$11)*(Assumptions!$C$11-Assumptions!$C$21),IF(Assumptions!$D$84=1,Proforma!$H$59*(1+Assumptions!$B$95),Proforma!$H$59)))</f>
        <v>24830</v>
      </c>
      <c r="L59" s="289">
        <f>IF($K$49&gt;=Assumptions!$C$19+1,K59/(Assumptions!$C$11-Assumptions!$C$21),K59/Assumptions!$C$11)</f>
        <v>65</v>
      </c>
      <c r="M59" s="275"/>
      <c r="N59" s="289">
        <f>IF(AND($N$49=Assumptions!$C$19+1,Assumptions!$D$84=1),(Proforma!$K$59/Assumptions!$C$11)*(Assumptions!$C$11-Assumptions!$C$21)*(1+Assumptions!$B$95),IF(AND($N$49=Assumptions!$C$19,Assumptions!$D$84=2),(Proforma!$K$59/Assumptions!$C$11)*(Assumptions!$C$11-Assumptions!$C$21),IF(Assumptions!$D$84=1,Proforma!$K$59*(1+Assumptions!$B$95),Proforma!$K$59)))</f>
        <v>24830</v>
      </c>
      <c r="O59" s="289">
        <f>IF($N$49&gt;=Assumptions!$C$19+1,N59/(Assumptions!$C$11-Assumptions!$C$21),N59/Assumptions!$C$11)</f>
        <v>65</v>
      </c>
      <c r="P59" s="275"/>
      <c r="Q59" s="289">
        <f>IF(AND($Q$49=Assumptions!$C$19+1,Assumptions!$D$84=1),(Proforma!$N$59/Assumptions!$C$11)*(Assumptions!$C$11-Assumptions!$C$21)*(1+Assumptions!$B$95),IF(AND($Q$49=Assumptions!$C$19+1,Assumptions!$D$84=2),(Proforma!$N$59/Assumptions!$C$11)*(Assumptions!$C$11-Assumptions!$C$21),IF(Assumptions!$D$84=1,Proforma!$N$59*(1+Assumptions!$B$95),Proforma!$N$59)))</f>
        <v>24830</v>
      </c>
      <c r="R59" s="289">
        <f>IF($Q$49&gt;=Assumptions!$C$19+1,Q59/(Assumptions!$C$11-Assumptions!$C$21),Q59/Assumptions!$C$11)</f>
        <v>65</v>
      </c>
      <c r="S59" s="275"/>
      <c r="T59" s="289">
        <f>IF(AND($T$49=Assumptions!$C$19+1,Assumptions!$D$84=1),(Proforma!$Q$59/Assumptions!$C$11)*(Assumptions!$C$11-Assumptions!$C$21)*(1+Assumptions!$B$95),IF(AND($T$49=Assumptions!$C$19+1,Assumptions!$D$84=2),(Proforma!$Q$59/Assumptions!$C$11)*(Assumptions!$C$11-Assumptions!$C$21),IF(Assumptions!$D$84=1,Proforma!$Q$59*(1+Assumptions!$B$95),Proforma!$Q$59)))</f>
        <v>24830</v>
      </c>
      <c r="U59" s="289">
        <f>IF($T$49&gt;=Assumptions!$C$19+1,T59/(Assumptions!$C$11-Assumptions!$C$21),T59/Assumptions!$C$11)</f>
        <v>65</v>
      </c>
      <c r="V59" s="275"/>
      <c r="W59" s="289">
        <f>IF(AND($W$49=Assumptions!$C$19+1,Assumptions!$D$84=1),(Proforma!$T$59/Assumptions!$C$11)*(Assumptions!$C$11-Assumptions!$C$21)*(1+Assumptions!$B$95),IF(AND($W$49=Assumptions!$C$19+1,Assumptions!$D$84=2),(Proforma!$T$59/Assumptions!$C$11)*(Assumptions!$C$11-Assumptions!$C$21),IF(Assumptions!$D$84=1,Proforma!$T$59*(1+Assumptions!$B$95),Proforma!$T$59)))</f>
        <v>17290</v>
      </c>
      <c r="X59" s="289">
        <f>IF($W$49&gt;=Assumptions!$C$19+1,W59/(Assumptions!$C$11-Assumptions!$C$21),W59/Assumptions!$C$11)</f>
        <v>65</v>
      </c>
      <c r="Y59" s="275"/>
      <c r="Z59" s="289">
        <f>IF(AND($Z$49=Assumptions!$C$19+1,Assumptions!$D$84=1),(Proforma!$W$59/Assumptions!$C$11)*(Assumptions!$C$11-Assumptions!$C$21)*(1+Assumptions!$B$95),IF(AND($Z$49=Assumptions!$C$19+1,Assumptions!$D$84=2),(Proforma!$W$59/Assumptions!$C$11)*(Assumptions!$C$11-Assumptions!$C$21),IF(Assumptions!$D$84=1,Proforma!$W$59*(1+Assumptions!$B$95),Proforma!$W$59)))</f>
        <v>17290</v>
      </c>
      <c r="AA59" s="289">
        <f>IF($Z$49&gt;=Assumptions!$C$19+1,Z59/(Assumptions!$C$11-Assumptions!$C$21),Z59/Assumptions!$C$11)</f>
        <v>65</v>
      </c>
      <c r="AB59" s="275"/>
      <c r="AC59" s="289">
        <f>IF(AND($AC$49=Assumptions!$C$19+1,Assumptions!$D$84=1),(Proforma!$Z$59/Assumptions!$C$11)*(Assumptions!$C$11-Assumptions!$C$21)*(1+Assumptions!$B$95),IF(AND($AC$49=Assumptions!$C$19+1,Assumptions!$D$84=2),(Proforma!$Z$59/Assumptions!$C$11)*(Assumptions!$C$11-Assumptions!$C$21),IF(Assumptions!$D$84=1,Proforma!$Z$59*(1+Assumptions!$B$95),Proforma!$Z$59)))</f>
        <v>17290</v>
      </c>
      <c r="AD59" s="289">
        <f>IF($AC$49&gt;=Assumptions!$C$19+1,AC59/(Assumptions!$C$11-Assumptions!$C$21),AC59/Assumptions!$C$11)</f>
        <v>65</v>
      </c>
      <c r="AE59" s="276"/>
      <c r="AF59" s="289">
        <f>IF(AND($AF$49=Assumptions!$C$19+1,Assumptions!$D$84=1),(Proforma!$AC$59/Assumptions!$C$11)*(Assumptions!$C$11-Assumptions!$C$21)*(1+Assumptions!$B$95),IF(AND($AF$49=Assumptions!$C$19+1,Assumptions!$D$84=2),(Proforma!$AC$59/Assumptions!$C$11)*(Assumptions!$C$11-Assumptions!$C$21),IF(Assumptions!$D$84=1,Proforma!$AC$59*(1+Assumptions!$B$95),Proforma!$AC$59)))</f>
        <v>17290</v>
      </c>
      <c r="AG59" s="289">
        <f>IF($AF$49&gt;=Assumptions!$C$19+1,AF59/(Assumptions!$C$11-Assumptions!$C$21),AF59/Assumptions!$C$11)</f>
        <v>65</v>
      </c>
      <c r="AH59" s="290"/>
    </row>
    <row r="60" spans="1:35" x14ac:dyDescent="0.35">
      <c r="A60" s="119" t="s">
        <v>253</v>
      </c>
      <c r="B60" s="289">
        <v>0</v>
      </c>
      <c r="C60" s="289">
        <v>0</v>
      </c>
      <c r="D60" s="290"/>
      <c r="E60" s="289">
        <f>IF($E$49=Assumptions!$C$19,Assumptions!$B$85*(Assumptions!$C$11-Assumptions!$C$21),Assumptions!$B$85*Assumptions!$C$11)</f>
        <v>1427916</v>
      </c>
      <c r="F60" s="289">
        <f>IF($E$49&gt;=Assumptions!$C$19+1,E60/(Assumptions!$C$11-Assumptions!$C$21),E60/Assumptions!$C$11)</f>
        <v>3738</v>
      </c>
      <c r="G60" s="290"/>
      <c r="H60" s="289">
        <f>IF(AND($H$49=Assumptions!$C$19+1,Assumptions!$D$85=1),(Proforma!$E$60/Assumptions!$C$11)*(Assumptions!$C$11-Assumptions!$C$21)*(1+Assumptions!$B$95),IF(AND($H$49=Assumptions!$C$19+1,Assumptions!$D$85=2),(Proforma!$E$60/Assumptions!$C$11)*(Assumptions!$C$11-Assumptions!$C$21),IF(Assumptions!$D$85=1,Proforma!$E$60*(1+Assumptions!$B$95),Proforma!$E$60)))</f>
        <v>1456474.32</v>
      </c>
      <c r="I60" s="289">
        <f>IF($H$49&gt;=Assumptions!$C$19+1,H60/(Assumptions!$C$11-Assumptions!$C$21),H60/Assumptions!$C$11)</f>
        <v>3812.76</v>
      </c>
      <c r="J60" s="290"/>
      <c r="K60" s="289">
        <f>IF(AND($K$49=Assumptions!$C$19+1,Assumptions!$D$85=1),(Proforma!$H$60/Assumptions!$C$11)*(Assumptions!$C$11-Assumptions!$C$21)*(1+Assumptions!$B$95),IF(AND($K$49=Assumptions!$C$19+1,Assumptions!$D$85=2),(Proforma!$H$60/Assumptions!$C$11)*(Assumptions!$C$11-Assumptions!$C$21),IF(Assumptions!$D$85=1,Proforma!$H$60*(1+Assumptions!$B$95),Proforma!$H$60)))</f>
        <v>1485603.8064000001</v>
      </c>
      <c r="L60" s="289">
        <f>IF($K$49&gt;=Assumptions!$C$19+1,K60/(Assumptions!$C$11-Assumptions!$C$21),K60/Assumptions!$C$11)</f>
        <v>3889.0152000000003</v>
      </c>
      <c r="M60" s="275"/>
      <c r="N60" s="289">
        <f>IF(AND($N$49=Assumptions!$C$19+1,Assumptions!$D$85=1),(Proforma!$K$60/Assumptions!$C$11)*(Assumptions!$C$11-Assumptions!$C$21)*(1+Assumptions!$B$95),IF(AND($N$49=Assumptions!$C$19,Assumptions!$D$85=2),(Proforma!$K$60/Assumptions!$C$11)*(Assumptions!$C$11-Assumptions!$C$21),IF(Assumptions!$D$85=1,Proforma!$K$60*(1+Assumptions!$B$95),Proforma!$K$60)))</f>
        <v>1515315.882528</v>
      </c>
      <c r="O60" s="289">
        <f>IF($N$49&gt;=Assumptions!$C$19+1,N60/(Assumptions!$C$11-Assumptions!$C$21),N60/Assumptions!$C$11)</f>
        <v>3966.7955040000002</v>
      </c>
      <c r="P60" s="275"/>
      <c r="Q60" s="289">
        <f>IF(AND($Q$49=Assumptions!$C$19+1,Assumptions!$D$85=1),(Proforma!$N$60/Assumptions!$C$11)*(Assumptions!$C$11-Assumptions!$C$21)*(1+Assumptions!$B$95),IF(AND($Q$49=Assumptions!$C$19+1,Assumptions!$D$85=2),(Proforma!$N$60/Assumptions!$C$11)*(Assumptions!$C$11-Assumptions!$C$21),IF(Assumptions!$D$85=1,Proforma!$N$60*(1+Assumptions!$B$95),Proforma!$N$60)))</f>
        <v>1545622.2001785601</v>
      </c>
      <c r="R60" s="289">
        <f>IF($Q$49&gt;=Assumptions!$C$19+1,Q60/(Assumptions!$C$11-Assumptions!$C$21),Q60/Assumptions!$C$11)</f>
        <v>4046.1314140800005</v>
      </c>
      <c r="S60" s="275"/>
      <c r="T60" s="289">
        <f>IF(AND($T$49=Assumptions!$C$19+1,Assumptions!$D$85=1),(Proforma!$Q$60/Assumptions!$C$11)*(Assumptions!$C$11-Assumptions!$C$21)*(1+Assumptions!$B$95),IF(AND($T$49=Assumptions!$C$19+1,Assumptions!$D$85=2),(Proforma!$Q$60/Assumptions!$C$11)*(Assumptions!$C$11-Assumptions!$C$21),IF(Assumptions!$D$85=1,Proforma!$Q$60*(1+Assumptions!$B$95),Proforma!$Q$60)))</f>
        <v>1576534.6441821314</v>
      </c>
      <c r="U60" s="289">
        <f>IF($T$49&gt;=Assumptions!$C$19+1,T60/(Assumptions!$C$11-Assumptions!$C$21),T60/Assumptions!$C$11)</f>
        <v>4127.0540423616003</v>
      </c>
      <c r="V60" s="275"/>
      <c r="W60" s="289">
        <f>IF(AND($W$49=Assumptions!$C$19+1,Assumptions!$D$85=1),(Proforma!$T$60/Assumptions!$C$11)*(Assumptions!$C$11-Assumptions!$C$21)*(1+Assumptions!$B$95),IF(AND($W$49=Assumptions!$C$19+1,Assumptions!$D$85=2),(Proforma!$T$60/Assumptions!$C$11)*(Assumptions!$C$11-Assumptions!$C$21),IF(Assumptions!$D$85=1,Proforma!$T$60*(1+Assumptions!$B$95),Proforma!$T$60)))</f>
        <v>1119752.3027735495</v>
      </c>
      <c r="X60" s="289">
        <f>IF($W$49&gt;=Assumptions!$C$19+1,W60/(Assumptions!$C$11-Assumptions!$C$21),W60/Assumptions!$C$11)</f>
        <v>4209.5951232088328</v>
      </c>
      <c r="Y60" s="275"/>
      <c r="Z60" s="289">
        <f>IF(AND($Z$49=Assumptions!$C$19+1,Assumptions!$D$85=1),(Proforma!$W$60/Assumptions!$C$11)*(Assumptions!$C$11-Assumptions!$C$21)*(1+Assumptions!$B$95),IF(AND($Z$49=Assumptions!$C$19+1,Assumptions!$D$85=2),(Proforma!$W$60/Assumptions!$C$11)*(Assumptions!$C$11-Assumptions!$C$21),IF(Assumptions!$D$85=1,Proforma!$W$60*(1+Assumptions!$B$95),Proforma!$W$60)))</f>
        <v>1142147.3488290205</v>
      </c>
      <c r="AA60" s="289">
        <f>IF($Z$49&gt;=Assumptions!$C$19+1,Z60/(Assumptions!$C$11-Assumptions!$C$21),Z60/Assumptions!$C$11)</f>
        <v>4293.7870256730093</v>
      </c>
      <c r="AB60" s="275"/>
      <c r="AC60" s="289">
        <f>IF(AND($AC$49=Assumptions!$C$19+1,Assumptions!$D$85=1),(Proforma!$Z$60/Assumptions!$C$11)*(Assumptions!$C$11-Assumptions!$C$21)*(1+Assumptions!$B$95),IF(AND($AC$49=Assumptions!$C$19+1,Assumptions!$D$85=2),(Proforma!$Z$60/Assumptions!$C$11)*(Assumptions!$C$11-Assumptions!$C$21),IF(Assumptions!$D$85=1,Proforma!$Z$60*(1+Assumptions!$B$95),Proforma!$Z$60)))</f>
        <v>1164990.2958056009</v>
      </c>
      <c r="AD60" s="289">
        <f>IF($AC$49&gt;=Assumptions!$C$19+1,AC60/(Assumptions!$C$11-Assumptions!$C$21),AC60/Assumptions!$C$11)</f>
        <v>4379.6627661864695</v>
      </c>
      <c r="AE60" s="276"/>
      <c r="AF60" s="289">
        <f>IF(AND($AF$49=Assumptions!$C$19+1,Assumptions!$D$85=1),(Proforma!$AC$60/Assumptions!$C$11)*(Assumptions!$C$11-Assumptions!$C$21)*(1+Assumptions!$B$95),IF(AND($AF$49=Assumptions!$C$19+1,Assumptions!$D$85=2),(Proforma!$AC$60/Assumptions!$C$11)*(Assumptions!$C$11-Assumptions!$C$21),IF(Assumptions!$D$85=1,Proforma!$AC$60*(1+Assumptions!$B$95),Proforma!$AC$60)))</f>
        <v>1188290.1017217131</v>
      </c>
      <c r="AG60" s="289">
        <f>IF($AF$49&gt;=Assumptions!$C$19+1,AF60/(Assumptions!$C$11-Assumptions!$C$21),AF60/Assumptions!$C$11)</f>
        <v>4467.2560215101994</v>
      </c>
      <c r="AH60" s="290"/>
    </row>
    <row r="61" spans="1:35" x14ac:dyDescent="0.35">
      <c r="A61" s="119" t="s">
        <v>122</v>
      </c>
      <c r="B61" s="289">
        <v>0</v>
      </c>
      <c r="C61" s="289">
        <v>0</v>
      </c>
      <c r="D61" s="290"/>
      <c r="E61" s="289">
        <f>'Depreciation Deduction'!D8</f>
        <v>610500</v>
      </c>
      <c r="F61" s="289">
        <f>E61/Assumptions!$C$11</f>
        <v>1598.1675392670156</v>
      </c>
      <c r="G61" s="290"/>
      <c r="H61" s="289">
        <f>'Depreciation Deduction'!C9</f>
        <v>610500</v>
      </c>
      <c r="I61" s="289">
        <f>H61/Assumptions!$C$11</f>
        <v>1598.1675392670156</v>
      </c>
      <c r="J61" s="290"/>
      <c r="K61" s="289">
        <f>'Depreciation Deduction'!C10</f>
        <v>610500</v>
      </c>
      <c r="L61" s="289">
        <f>K61/Assumptions!$C$11</f>
        <v>1598.1675392670156</v>
      </c>
      <c r="M61" s="275"/>
      <c r="N61" s="289">
        <f>'Depreciation Deduction'!C11</f>
        <v>610500</v>
      </c>
      <c r="O61" s="289">
        <f>N61/Assumptions!$C$11</f>
        <v>1598.1675392670156</v>
      </c>
      <c r="P61" s="275"/>
      <c r="Q61" s="289">
        <f>'Depreciation Deduction'!C12</f>
        <v>610500</v>
      </c>
      <c r="R61" s="289">
        <f>Q61/Assumptions!$C$11</f>
        <v>1598.1675392670156</v>
      </c>
      <c r="S61" s="275"/>
      <c r="T61" s="289">
        <f>'Depreciation Deduction'!C13</f>
        <v>610500</v>
      </c>
      <c r="U61" s="289">
        <f>T61/Assumptions!$C$11</f>
        <v>1598.1675392670156</v>
      </c>
      <c r="V61" s="275"/>
      <c r="W61" s="289">
        <f>'Depreciation Deduction'!C14</f>
        <v>430500</v>
      </c>
      <c r="X61" s="289">
        <f>W61/Assumptions!$C$11</f>
        <v>1126.9633507853403</v>
      </c>
      <c r="Y61" s="275"/>
      <c r="Z61" s="289">
        <f>'Depreciation Deduction'!C15</f>
        <v>430500</v>
      </c>
      <c r="AA61" s="289">
        <f>Z61/Assumptions!$C$11</f>
        <v>1126.9633507853403</v>
      </c>
      <c r="AB61" s="275"/>
      <c r="AC61" s="289">
        <f>'Depreciation Deduction'!C16</f>
        <v>430500</v>
      </c>
      <c r="AD61" s="289">
        <f>AC61/Assumptions!$C$11</f>
        <v>1126.9633507853403</v>
      </c>
      <c r="AE61" s="276"/>
      <c r="AF61" s="289">
        <f>'Depreciation Deduction'!C17</f>
        <v>430500</v>
      </c>
      <c r="AG61" s="289">
        <f>AF61/Assumptions!$C$11</f>
        <v>1126.9633507853403</v>
      </c>
      <c r="AH61" s="290"/>
    </row>
    <row r="62" spans="1:35" x14ac:dyDescent="0.35">
      <c r="A62" s="119" t="s">
        <v>254</v>
      </c>
      <c r="B62" s="289">
        <v>0</v>
      </c>
      <c r="C62" s="289">
        <v>0</v>
      </c>
      <c r="D62" s="290"/>
      <c r="E62" s="289">
        <f>IF($E$49=Assumptions!$C$19,Assumptions!$B$89*(Assumptions!$C$11-Assumptions!$C$21),Assumptions!$B$89*Assumptions!$C$11)</f>
        <v>3820</v>
      </c>
      <c r="F62" s="289">
        <f>IF($E$49&gt;=Assumptions!$C$19+1,E62/(Assumptions!$C$11-Assumptions!$C$21),E62/Assumptions!$C$11)</f>
        <v>10</v>
      </c>
      <c r="G62" s="290"/>
      <c r="H62" s="289">
        <f>IF(AND($H$49=Assumptions!$C$19+1,Assumptions!$D$89=1),(Proforma!$E$62/Assumptions!$C$11)*(Assumptions!$C$11-Assumptions!$C$21)*(1+Assumptions!$B$95),IF(AND($H$49=Assumptions!$C$19+1,Assumptions!$D$89=2),(Proforma!$E$62/Assumptions!$C$11)*(Assumptions!$C$11-Assumptions!$C$21),IF(Assumptions!$D$89=1,Proforma!$E$62*(1+Assumptions!$B$95),Proforma!$E$62)))</f>
        <v>3820</v>
      </c>
      <c r="I62" s="289">
        <f>IF($H$49&gt;=Assumptions!$C$19+1,H62/(Assumptions!$C$11-Assumptions!$C$21),H62/Assumptions!$C$11)</f>
        <v>10</v>
      </c>
      <c r="J62" s="290"/>
      <c r="K62" s="289">
        <f>IF(AND($K$49=Assumptions!$C$19+1,Assumptions!$D$89=1),(Proforma!$H$62/Assumptions!$C$11)*(Assumptions!$C$11-Assumptions!$C$21)*(1+Assumptions!$B$95),IF(AND($K$49=Assumptions!$C$19+1,Assumptions!$D$89=2),(Proforma!$H$62/Assumptions!$C$11)*(Assumptions!$C$11-Assumptions!$C$21),IF(Assumptions!$D$89=1,Proforma!$H$62*(1+Assumptions!$B$95),Proforma!$H$62)))</f>
        <v>3820</v>
      </c>
      <c r="L62" s="289">
        <f>IF($K$49&gt;=Assumptions!$C$19+1,K62/(Assumptions!$C$11-Assumptions!$C$21),K62/Assumptions!$C$11)</f>
        <v>10</v>
      </c>
      <c r="M62" s="275"/>
      <c r="N62" s="289">
        <f>IF(AND($N$49=Assumptions!$C$19+1,Assumptions!$D$89=1),(Proforma!$K$62/Assumptions!$C$11)*(Assumptions!$C$11-Assumptions!$C$21)*(1+Assumptions!$B$95),IF(AND($N$49=Assumptions!$C$19,Assumptions!$D$89=2),(Proforma!$K$62/Assumptions!$C$11)*(Assumptions!$C$11-Assumptions!$C$21),IF(Assumptions!$D$89=1,Proforma!$K$62*(1+Assumptions!$B$95),Proforma!$K$62)))</f>
        <v>3820</v>
      </c>
      <c r="O62" s="289">
        <f>IF($N$49&gt;=Assumptions!$C$19+1,N62/(Assumptions!$C$11-Assumptions!$C$21),N62/Assumptions!$C$11)</f>
        <v>10</v>
      </c>
      <c r="P62" s="275"/>
      <c r="Q62" s="289">
        <f>IF(AND($Q$49=Assumptions!$C$19+1,Assumptions!$D$89=1),(Proforma!$N$62/Assumptions!$C$11)*(Assumptions!$C$11-Assumptions!$C$21)*(1+Assumptions!$B$95),IF(AND($Q$49=Assumptions!$C$19+1,Assumptions!$D$89=2),(Proforma!$N$62/Assumptions!$C$11)*(Assumptions!$C$11-Assumptions!$C$21),IF(Assumptions!$D$89=1,Proforma!$N$62*(1+Assumptions!$B$95),Proforma!$N$62)))</f>
        <v>3820</v>
      </c>
      <c r="R62" s="289">
        <f>IF($Q$49&gt;=Assumptions!$C$19+1,Q62/(Assumptions!$C$11-Assumptions!$C$21),Q62/Assumptions!$C$11)</f>
        <v>10</v>
      </c>
      <c r="S62" s="275"/>
      <c r="T62" s="289">
        <f>IF(AND($T$49=Assumptions!$C$19+1,Assumptions!$D$89=1),(Proforma!$Q$62/Assumptions!$C$11)*(Assumptions!$C$11-Assumptions!$C$21)*(1+Assumptions!$B$95),IF(AND($T$49=Assumptions!$C$19+1,Assumptions!$D$89=2),(Proforma!$Q$62/Assumptions!$C$11)*(Assumptions!$C$11-Assumptions!$C$21),IF(Assumptions!$D$89=1,Proforma!$Q$62*(1+Assumptions!$B$95),Proforma!$Q$62)))</f>
        <v>3820</v>
      </c>
      <c r="U62" s="289">
        <f>IF($T$49&gt;=Assumptions!$C$19+1,T62/(Assumptions!$C$11-Assumptions!$C$21),T62/Assumptions!$C$11)</f>
        <v>10</v>
      </c>
      <c r="V62" s="275"/>
      <c r="W62" s="289">
        <f>IF(AND($W$49=Assumptions!$C$19+1,Assumptions!$D$89=1),(Proforma!$T$62/Assumptions!$C$11)*(Assumptions!$C$11-Assumptions!$C$21)*(1+Assumptions!$B$95),IF(AND($W$49=Assumptions!$C$19+1,Assumptions!$D$89=2),(Proforma!$T$62/Assumptions!$C$11)*(Assumptions!$C$11-Assumptions!$C$21),IF(Assumptions!$D$89=1,Proforma!$T$62*(1+Assumptions!$B$95),Proforma!$T$62)))</f>
        <v>2660</v>
      </c>
      <c r="X62" s="289">
        <f>IF($W$49&gt;=Assumptions!$C$19+1,W62/(Assumptions!$C$11-Assumptions!$C$21),W62/Assumptions!$C$11)</f>
        <v>10</v>
      </c>
      <c r="Y62" s="275"/>
      <c r="Z62" s="289">
        <f>IF(AND($Z$49=Assumptions!$C$19+1,Assumptions!$D$89=1),(Proforma!$W$62/Assumptions!$C$11)*(Assumptions!$C$11-Assumptions!$C$21)*(1+Assumptions!$B$95),IF(AND($Z$49=Assumptions!$C$19+1,Assumptions!$D$89=2),(Proforma!$W$62/Assumptions!$C$11)*(Assumptions!$C$11-Assumptions!$C$21),IF(Assumptions!$D$89=1,Proforma!$W$62*(1+Assumptions!$B$95),Proforma!$W$62)))</f>
        <v>2660</v>
      </c>
      <c r="AA62" s="289">
        <f>IF($Z$49&gt;=Assumptions!$C$19+1,Z62/(Assumptions!$C$11-Assumptions!$C$21),Z62/Assumptions!$C$11)</f>
        <v>10</v>
      </c>
      <c r="AB62" s="275"/>
      <c r="AC62" s="289">
        <f>IF(AND($AC$49=Assumptions!$C$19+1,Assumptions!$D$89=1),(Proforma!$Z$62/Assumptions!$C$11)*(Assumptions!$C$11-Assumptions!$C$21)*(1+Assumptions!$B$95),IF(AND($AC$49=Assumptions!$C$19+1,Assumptions!$D$89=2),(Proforma!$Z$62/Assumptions!$C$11)*(Assumptions!$C$11-Assumptions!$C$21),IF(Assumptions!$D$89=1,Proforma!$Z$62*(1+Assumptions!$B$95),Proforma!$Z$62)))</f>
        <v>2660</v>
      </c>
      <c r="AD62" s="289">
        <f>IF($AC$49&gt;=Assumptions!$C$19+1,AC62/(Assumptions!$C$11-Assumptions!$C$21),AC62/Assumptions!$C$11)</f>
        <v>10</v>
      </c>
      <c r="AE62" s="276"/>
      <c r="AF62" s="289">
        <f>IF(AND($AF$49=Assumptions!$C$19+1,Assumptions!$D$89=1),(Proforma!$AC$62/Assumptions!$C$11)*(Assumptions!$C$11-Assumptions!$C$21)*(1+Assumptions!$B$95),IF(AND($AF$49=Assumptions!$C$19+1,Assumptions!$D$89=2),(Proforma!$AC$62/Assumptions!$C$11)*(Assumptions!$C$11-Assumptions!$C$21),IF(Assumptions!$D$89=1,Proforma!$AC$62*(1+Assumptions!$B$95),Proforma!$AC$62)))</f>
        <v>2660</v>
      </c>
      <c r="AG62" s="289">
        <f>IF($AF$49&gt;=Assumptions!$C$19+1,AF62/(Assumptions!$C$11-Assumptions!$C$21),AF62/Assumptions!$C$11)</f>
        <v>10</v>
      </c>
      <c r="AH62" s="290"/>
    </row>
    <row r="63" spans="1:35" x14ac:dyDescent="0.35">
      <c r="A63" s="119" t="s">
        <v>119</v>
      </c>
      <c r="B63" s="289">
        <v>0</v>
      </c>
      <c r="C63" s="289">
        <v>0</v>
      </c>
      <c r="D63" s="290"/>
      <c r="E63" s="289">
        <f>('Loan Ammortization'!$F$7+'Line of Credit'!E8)*(Assumptions!$C$11/Assumptions!$C$8)</f>
        <v>259738.41817256261</v>
      </c>
      <c r="F63" s="289">
        <f>E63/Assumptions!$C$11</f>
        <v>679.94350306953561</v>
      </c>
      <c r="G63" s="290"/>
      <c r="H63" s="289">
        <f>('Loan Ammortization'!$F$8+'Line of Credit'!$E$9)*(Assumptions!$C$11/Assumptions!$C$8)</f>
        <v>252868.42454942106</v>
      </c>
      <c r="I63" s="289">
        <f>H63/Assumptions!$C$11</f>
        <v>661.95922656916514</v>
      </c>
      <c r="J63" s="290"/>
      <c r="K63" s="289">
        <f>('Loan Ammortization'!$F$9+'Line of Credit'!$E$10)*(Assumptions!$C$11/Assumptions!$C$8)</f>
        <v>245777.56029320389</v>
      </c>
      <c r="L63" s="289">
        <f>K63/Assumptions!$C$11</f>
        <v>643.39675469425106</v>
      </c>
      <c r="M63" s="275"/>
      <c r="N63" s="289">
        <f>('Loan Ammortization'!$F$10+'Line of Credit'!$E$11)*(Assumptions!$C$11/Assumptions!$C$8)</f>
        <v>238451.35649411692</v>
      </c>
      <c r="O63" s="289">
        <f>N63/Assumptions!$C$11</f>
        <v>624.21821071758359</v>
      </c>
      <c r="P63" s="275"/>
      <c r="Q63" s="289">
        <f>('Loan Ammortization'!$F$11+'Line of Credit'!$E$12)*(Assumptions!$C$11/Assumptions!$C$8)</f>
        <v>230889.53336642592</v>
      </c>
      <c r="R63" s="289">
        <f>Q63/Assumptions!$C$11</f>
        <v>604.42286221577467</v>
      </c>
      <c r="S63" s="275"/>
      <c r="T63" s="289">
        <f>('Loan Ammortization'!$F$12+'Line of Credit'!$E$13)*(Assumptions!$C$11/Assumptions!$C$8)</f>
        <v>223081.9509870848</v>
      </c>
      <c r="U63" s="289">
        <f>T63/Assumptions!$C$11</f>
        <v>583.98416488765656</v>
      </c>
      <c r="V63" s="275"/>
      <c r="W63" s="289">
        <f>('Loan Ammortization'!$F$13+'Line of Credit'!$E$14)*(Assumptions!$C$11/Assumptions!$C$8)</f>
        <v>215023.0263400918</v>
      </c>
      <c r="X63" s="289">
        <f>W63/Assumptions!$C$11</f>
        <v>562.88750350809369</v>
      </c>
      <c r="Y63" s="275"/>
      <c r="Z63" s="289">
        <f>('Loan Ammortization'!$F$14+'Line of Credit'!$E$15)*(Assumptions!$C$11/Assumptions!$C$8)</f>
        <v>206697.30018752874</v>
      </c>
      <c r="AA63" s="289">
        <f>Z63/Assumptions!$C$11</f>
        <v>541.09240886787632</v>
      </c>
      <c r="AB63" s="275"/>
      <c r="AC63" s="289">
        <f>('Loan Ammortization'!$F$15+'Line of Credit'!$E$16)*(Assumptions!$C$11/Assumptions!$C$8)</f>
        <v>198103.47022987352</v>
      </c>
      <c r="AD63" s="289">
        <f>AC63/Assumptions!$C$11</f>
        <v>518.59547180595166</v>
      </c>
      <c r="AE63" s="276"/>
      <c r="AF63" s="289">
        <f>('Loan Ammortization'!$F$16+'Line of Credit'!$E$17)*(Assumptions!$C$11/Assumptions!$C$8)</f>
        <v>189230.34079859449</v>
      </c>
      <c r="AG63" s="289">
        <f>AF63/Assumptions!$C$11</f>
        <v>495.3673842895144</v>
      </c>
      <c r="AH63" s="290"/>
    </row>
    <row r="64" spans="1:35" x14ac:dyDescent="0.35">
      <c r="A64" s="119" t="s">
        <v>255</v>
      </c>
      <c r="B64" s="289">
        <v>0</v>
      </c>
      <c r="C64" s="289">
        <v>0</v>
      </c>
      <c r="D64" s="290"/>
      <c r="E64" s="289">
        <f>IF($E$49=Assumptions!$C$19,Assumptions!$B$90*(Assumptions!$C$9-Assumptions!$C$20),Assumptions!$B$90*Assumptions!$C$9)</f>
        <v>6105</v>
      </c>
      <c r="F64" s="289">
        <f>IF($E$49&gt;=Assumptions!$C$19+1,E64/(Assumptions!$C$9-Assumptions!$C$20),E64/Assumptions!$C$9)</f>
        <v>15</v>
      </c>
      <c r="G64" s="290"/>
      <c r="H64" s="289">
        <f>IF(AND($H$49=Assumptions!$C$19+1,Assumptions!$D$90=1),(Proforma!$E$64/Assumptions!$C$9)*(Assumptions!$C$9-Assumptions!$C$20)*(1+Assumptions!$B$95),IF(AND($H$49=Assumptions!$C$19+1,Assumptions!$D$90=2),(Proforma!$E$64/Assumptions!$C$9)*(Assumptions!$C$9-Assumptions!$C$20),IF(Assumptions!$D$90=1,Proforma!$E$64*(1+Assumptions!$B$95),Proforma!$E$64)))</f>
        <v>6227.1</v>
      </c>
      <c r="I64" s="289">
        <f>IF($H$49&gt;=Assumptions!$C$19+1,H64/(Assumptions!$C$9-Assumptions!$C$20),H64/Assumptions!$C$9)</f>
        <v>15.3</v>
      </c>
      <c r="J64" s="290"/>
      <c r="K64" s="289">
        <f>IF(AND($K$49=Assumptions!$C$19+1,Assumptions!$D$90=1),(Proforma!$H$64/Assumptions!$C$9)*(Assumptions!$C$9-Assumptions!$C$20)*(1+Assumptions!$B$95),IF(AND($K$49=Assumptions!$C$19+1,Assumptions!$D$90=2),(Proforma!$H$64/Assumptions!$C$9)*(Assumptions!$C$9-Assumptions!$C$20),IF(Assumptions!$D$90=1,Proforma!$H$64*(1+Assumptions!$B$95),Proforma!$H$64)))</f>
        <v>6351.6420000000007</v>
      </c>
      <c r="L64" s="289">
        <f>IF($K$49&gt;=Assumptions!$C$19+1,K64/(Assumptions!$C$9-Assumptions!$C$20),K64/Assumptions!$C$9)</f>
        <v>15.606000000000002</v>
      </c>
      <c r="M64" s="275"/>
      <c r="N64" s="289">
        <f>IF(AND($N$49=Assumptions!$C$19+1,Assumptions!$D$90=1),(Proforma!$K$64/Assumptions!$C$9)*(Assumptions!$C$9-Assumptions!$C$20)*(1+Assumptions!$B$95),IF(AND($N$49=Assumptions!$C$19,Assumptions!$D$90=2),(Proforma!$K$64/Assumptions!$C$9)*(Assumptions!$C$9-Assumptions!$C$20),IF(Assumptions!$D$90=1,Proforma!$K$64*(1+Assumptions!$B$95),Proforma!$K$64)))</f>
        <v>6478.6748400000006</v>
      </c>
      <c r="O64" s="289">
        <f>IF($N$49&gt;=Assumptions!$C$19+1,N64/(Assumptions!$C$9-Assumptions!$C$20),N64/Assumptions!$C$9)</f>
        <v>15.918120000000002</v>
      </c>
      <c r="P64" s="275"/>
      <c r="Q64" s="289">
        <f>IF(AND($Q$49=Assumptions!$C$19+1,Assumptions!$D$90=1),(Proforma!$N$64/Assumptions!$C$9)*(Assumptions!$C$9-Assumptions!$C$20)*(1+Assumptions!$B$95),IF(AND($Q$49=Assumptions!$C$19,Assumptions!$D$90=2),(Proforma!$N$64/Assumptions!$C$9)*(Assumptions!$C$9-Assumptions!$C$20),IF(Assumptions!$D$90=1,Proforma!$N$64*(1+Assumptions!$B$95),Proforma!$N$64)))</f>
        <v>6608.2483368000003</v>
      </c>
      <c r="R64" s="289">
        <f>IF($Q$49&gt;=Assumptions!$C$19+1,Q64/(Assumptions!$C$9-Assumptions!$C$20),Q64/Assumptions!$C$9)</f>
        <v>16.2364824</v>
      </c>
      <c r="S64" s="275"/>
      <c r="T64" s="289">
        <f>IF(AND($T$49=Assumptions!$C$19+1,Assumptions!$D$90=1),(Proforma!$Q$64/Assumptions!$C$9)*(Assumptions!$C$9-Assumptions!$C$20)*(1+Assumptions!$B$95),IF(AND($T$49=Assumptions!$C$19,Assumptions!$D$90=2),(Proforma!$Q$64/Assumptions!$C$9)*(Assumptions!$C$9-Assumptions!$C$20),IF(Assumptions!$D$90=1,Proforma!$Q$64*(1+Assumptions!$B$95),Proforma!$Q$64)))</f>
        <v>6740.4133035360001</v>
      </c>
      <c r="U64" s="289">
        <f>IF($T$49&gt;=Assumptions!$C$19+1,T64/(Assumptions!$C$9-Assumptions!$C$20),T64/Assumptions!$C$9)</f>
        <v>16.561212048000002</v>
      </c>
      <c r="V64" s="275"/>
      <c r="W64" s="289">
        <f>IF(AND($W$49=Assumptions!$C$19+1,Assumptions!$D$90=1),(Proforma!$T$64/Assumptions!$C$9)*(Assumptions!$C$9-Assumptions!$C$20)*(1+Assumptions!$B$95),IF(AND($W$49=Assumptions!$C$19,Assumptions!$D$90=2),(Proforma!$T$64/Assumptions!$C$9)*(Assumptions!$C$9-Assumptions!$C$20),IF(Assumptions!$D$90=1,Proforma!$T$64*(1+Assumptions!$B$95),Proforma!$T$64)))</f>
        <v>4848.1292149315213</v>
      </c>
      <c r="X64" s="289">
        <f>IF($W$49&gt;=Assumptions!$C$19+1,W64/(Assumptions!$C$9-Assumptions!$C$20),W64/Assumptions!$C$9)</f>
        <v>16.892436288960006</v>
      </c>
      <c r="Y64" s="275"/>
      <c r="Z64" s="289">
        <f>IF(AND($Z$49=Assumptions!$C$19+1,Assumptions!$D$90=1),(Proforma!$W$64/Assumptions!$C$9)*(Assumptions!$C$9-Assumptions!$C$20)*(1+Assumptions!$B$95),IF(AND($Z$49=Assumptions!$C$19,Assumptions!$D$90=2),(Proforma!$W$64/Assumptions!$C$9)*(Assumptions!$C$9-Assumptions!$C$20),IF(Assumptions!$D$90=1,Proforma!$W$64*(1+Assumptions!$B$95),Proforma!$W$64)))</f>
        <v>4945.091799230152</v>
      </c>
      <c r="AA64" s="289">
        <f>IF($Z$49&gt;=Assumptions!$C$19+1,Z64/(Assumptions!$C$9-Assumptions!$C$20),Z64/Assumptions!$C$9)</f>
        <v>17.230285014739206</v>
      </c>
      <c r="AB64" s="275"/>
      <c r="AC64" s="289">
        <f>IF(AND($AC$49=Assumptions!$C$19+1,Assumptions!$D$90=1),(Proforma!$Z$64/Assumptions!$C$9)*(Assumptions!$C$9-Assumptions!$C$20)*(1+Assumptions!$B$95),IF(AND($AC$49=Assumptions!$C$19,Assumptions!$D$90=2),(Proforma!$Z$64/Assumptions!$C$9)*(Assumptions!$C$9-Assumptions!$C$20),IF(Assumptions!$D$90=1,Proforma!$Z$64*(1+Assumptions!$B$95),Proforma!$Z$64)))</f>
        <v>5043.9936352147552</v>
      </c>
      <c r="AD64" s="289">
        <f>IF($AC$49&gt;=Assumptions!$C$19+1,AC64/(Assumptions!$C$9-Assumptions!$C$20),AC64/Assumptions!$C$9)</f>
        <v>17.574890715033991</v>
      </c>
      <c r="AE64" s="276"/>
      <c r="AF64" s="289">
        <f>IF(AND($AF$49=Assumptions!$C$19+1,Assumptions!$D$90=1),(Proforma!$AC$64/Assumptions!$C$9)*(Assumptions!$C$9-Assumptions!$C$20)*(1+Assumptions!$B$95),IF(AND($AF$49=Assumptions!$C$19,Assumptions!$D$90=2),(Proforma!$AC$64/Assumptions!$C$9)*(Assumptions!$C$9-Assumptions!$C$20),IF(Assumptions!$D$90=1,Proforma!$AC$64*(1+Assumptions!$B$95),Proforma!$AC$64)))</f>
        <v>5144.8735079190501</v>
      </c>
      <c r="AG64" s="289">
        <f>IF($AC$49&gt;=Assumptions!$C$19+1,AF64/(Assumptions!$C$9-Assumptions!$C$20),AF64/Assumptions!$C$9)</f>
        <v>17.92638852933467</v>
      </c>
      <c r="AH64" s="290"/>
    </row>
    <row r="65" spans="1:34" x14ac:dyDescent="0.35">
      <c r="A65" s="119" t="s">
        <v>256</v>
      </c>
      <c r="B65" s="289">
        <v>0</v>
      </c>
      <c r="C65" s="289">
        <v>0</v>
      </c>
      <c r="D65" s="290"/>
      <c r="E65" s="289">
        <f>IF($E$49=Assumptions!$C$19,Assumptions!$B$91*(Assumptions!$C$9-Assumptions!$C$20),Assumptions!$B$91*Assumptions!$C$9)</f>
        <v>8140</v>
      </c>
      <c r="F65" s="289">
        <f>IF($E$49&gt;=Assumptions!$C$19+1,E65/(Assumptions!$C$9-Assumptions!$C$20),E65/Assumptions!$C$9)</f>
        <v>20</v>
      </c>
      <c r="G65" s="290"/>
      <c r="H65" s="289">
        <f>IF(AND($H$49=Assumptions!$C$19+1,Assumptions!$D$91=1),(Proforma!$E$65/Assumptions!$C$9)*(Assumptions!$C$9-Assumptions!$C$20)*(1+Assumptions!$B$95),IF(AND($H$49=Assumptions!$C$19+1,Assumptions!$D$91=2),(Proforma!$E$65/Assumptions!$C$9)*(Assumptions!$C$9-Assumptions!$C$20),IF(Assumptions!$D$91=1,Proforma!$E$65*(1+Assumptions!$B$95),Proforma!$E$65)))</f>
        <v>8302.7999999999993</v>
      </c>
      <c r="I65" s="289">
        <f>IF($H$49&gt;=Assumptions!$C$19+1,H65/(Assumptions!$C$9-Assumptions!$C$20),H65/Assumptions!$C$9)</f>
        <v>20.399999999999999</v>
      </c>
      <c r="J65" s="290"/>
      <c r="K65" s="289">
        <f>IF(AND($K$49=Assumptions!$C$19+1,Assumptions!$D$91=1),(Proforma!$H$65/Assumptions!$C$9)*(Assumptions!$C$9-Assumptions!$C$20)*(1+Assumptions!$B$95),IF(AND($K$49=Assumptions!$C$19+1,Assumptions!$D$91=2),(Proforma!$H$65/Assumptions!$C$9)*(Assumptions!$C$9-Assumptions!$C$20),IF(Assumptions!$D$91=1,Proforma!$H$65*(1+Assumptions!$B$95),Proforma!$H$65)))</f>
        <v>8468.8559999999998</v>
      </c>
      <c r="L65" s="289">
        <f>IF($K$49&gt;=Assumptions!$C$19+1,K65/(Assumptions!$C$9-Assumptions!$C$20),K65/Assumptions!$C$9)</f>
        <v>20.808</v>
      </c>
      <c r="M65" s="275"/>
      <c r="N65" s="289">
        <f>IF(AND($N$49=Assumptions!$C$19+1,Assumptions!$D$91=1),(Proforma!$K$65/Assumptions!$C$9)*(Assumptions!$C$9-Assumptions!$C$20)*(1+Assumptions!$B$95),IF(AND($N$49=Assumptions!$C$19,Assumptions!$D$91=2),(Proforma!$K$65/Assumptions!$C$9)*(Assumptions!$C$9-Assumptions!$C$20),IF(Assumptions!$D$91=1,Proforma!$K$65*(1+Assumptions!$B$95),Proforma!$K$65)))</f>
        <v>8638.2331200000008</v>
      </c>
      <c r="O65" s="289">
        <f>IF($N$49&gt;=Assumptions!$C$19+1,N65/(Assumptions!$C$9-Assumptions!$C$20),N65/Assumptions!$C$9)</f>
        <v>21.224160000000001</v>
      </c>
      <c r="P65" s="275"/>
      <c r="Q65" s="289">
        <f>IF(AND($Q$49=Assumptions!$C$19+1,Assumptions!$D$91=1),(Proforma!$N$65/Assumptions!$C$9)*(Assumptions!$C$9-Assumptions!$C$20)*(1+Assumptions!$B$95),IF(AND($Q$49=Assumptions!$C$19,Assumptions!$D$91=2),(Proforma!$N$65/Assumptions!$C$9)*(Assumptions!$C$9-Assumptions!$C$20),IF(Assumptions!$D$91=1,Proforma!$N$65*(1+Assumptions!$B$95),Proforma!$N$65)))</f>
        <v>8810.9977824000016</v>
      </c>
      <c r="R65" s="289">
        <f>IF($Q$49&gt;=Assumptions!$C$19+1,Q65/(Assumptions!$C$9-Assumptions!$C$20),Q65/Assumptions!$C$9)</f>
        <v>21.648643200000002</v>
      </c>
      <c r="S65" s="275"/>
      <c r="T65" s="289">
        <f>IF(AND($T$49=Assumptions!$C$19+1,Assumptions!$D$91=1),(Proforma!$Q$65/Assumptions!$C$9)*(Assumptions!$C$9-Assumptions!$C$20)*(1+Assumptions!$B$95),IF(AND($T$49=Assumptions!$C$19,Assumptions!$D$91=2),(Proforma!$Q$65/Assumptions!$C$9)*(Assumptions!$C$9-Assumptions!$C$20),IF(Assumptions!$D$91=1,Proforma!$Q$65*(1+Assumptions!$B$95),Proforma!$Q$65)))</f>
        <v>8987.2177380480025</v>
      </c>
      <c r="U65" s="289">
        <f>IF($T$49&gt;=Assumptions!$C$19+1,T65/(Assumptions!$C$9-Assumptions!$C$20),T65/Assumptions!$C$9)</f>
        <v>22.081616064000006</v>
      </c>
      <c r="V65" s="275"/>
      <c r="W65" s="289">
        <f>IF(AND($W$49=Assumptions!$C$19+1,Assumptions!$D$91=1),(Proforma!$T$65/Assumptions!$C$9)*(Assumptions!$C$9-Assumptions!$C$20)*(1+Assumptions!$B$95),IF(AND($W$49=Assumptions!$C$19,Assumptions!$D$91=2),(Proforma!$T$65/Assumptions!$C$9)*(Assumptions!$C$9-Assumptions!$C$20),IF(Assumptions!$D$91=1,Proforma!$T$65*(1+Assumptions!$B$95),Proforma!$T$65)))</f>
        <v>6464.1722865753618</v>
      </c>
      <c r="X65" s="289">
        <f>IF($W$49&gt;=Assumptions!$C$19+1,W65/(Assumptions!$C$9-Assumptions!$C$20),W65/Assumptions!$C$9)</f>
        <v>22.523248385280006</v>
      </c>
      <c r="Y65" s="275"/>
      <c r="Z65" s="289">
        <f>IF(AND($Z$49=Assumptions!$C$19+1,Assumptions!$D$91=1),(Proforma!$W$65/Assumptions!$C$9)*(Assumptions!$C$9-Assumptions!$C$20)*(1+Assumptions!$B$95),IF(AND($Z$49=Assumptions!$C$19,Assumptions!$D$91=2),(Proforma!$W$65/Assumptions!$C$9)*(Assumptions!$C$9-Assumptions!$C$20),IF(Assumptions!$D$91=1,Proforma!$W$65*(1+Assumptions!$B$95),Proforma!$W$65)))</f>
        <v>6593.4557323068693</v>
      </c>
      <c r="AA65" s="289">
        <f>IF($Z$49&gt;=Assumptions!$C$19+1,Z65/(Assumptions!$C$9-Assumptions!$C$20),Z65/Assumptions!$C$9)</f>
        <v>22.973713352985609</v>
      </c>
      <c r="AB65" s="275"/>
      <c r="AC65" s="289">
        <f>IF(AND($AC$49=Assumptions!$C$19+1,Assumptions!$D$91=1),(Proforma!$Z$65/Assumptions!$C$9)*(Assumptions!$C$9-Assumptions!$C$20)*(1+Assumptions!$B$95),IF(AND($AC$49=Assumptions!$C$19,Assumptions!$D$91=2),(Proforma!$Z$65/Assumptions!$C$9)*(Assumptions!$C$9-Assumptions!$C$20),IF(Assumptions!$D$91=1,Proforma!$Z$65*(1+Assumptions!$B$95),Proforma!$Z$65)))</f>
        <v>6725.3248469530072</v>
      </c>
      <c r="AD65" s="289">
        <f>IF($AC$49&gt;=Assumptions!$C$19+1,AC65/(Assumptions!$C$9-Assumptions!$C$20),AC65/Assumptions!$C$9)</f>
        <v>23.43318762004532</v>
      </c>
      <c r="AE65" s="276"/>
      <c r="AF65" s="289">
        <f>IF(AND($AF$49=Assumptions!$C$19+1,Assumptions!$D$91=1),(Proforma!$AC$65/Assumptions!$C$9)*(Assumptions!$C$9-Assumptions!$C$20)*(1+Assumptions!$B$95),IF(AND($AF$49=Assumptions!$C$19,Assumptions!$D$91=2),(Proforma!$AC$65/Assumptions!$C$9)*(Assumptions!$C$9-Assumptions!$C$20),IF(Assumptions!$D$91=1,Proforma!$AC$65*(1+Assumptions!$B$95),Proforma!$AC$65)))</f>
        <v>6859.8313438920677</v>
      </c>
      <c r="AG65" s="289">
        <f>IF($AC$49&gt;=Assumptions!$C$19+1,AF65/(Assumptions!$C$9-Assumptions!$C$20),AF65/Assumptions!$C$9)</f>
        <v>23.901851372446227</v>
      </c>
      <c r="AH65" s="290"/>
    </row>
    <row r="66" spans="1:34" x14ac:dyDescent="0.35">
      <c r="A66" s="119" t="s">
        <v>271</v>
      </c>
      <c r="B66" s="289">
        <v>0</v>
      </c>
      <c r="C66" s="289">
        <v>0</v>
      </c>
      <c r="D66" s="290"/>
      <c r="E66" s="289">
        <f>'Management Struture'!F8</f>
        <v>40700</v>
      </c>
      <c r="F66" s="289">
        <f>IF($E$49&gt;=Assumptions!$C$19+1,E66/(Assumptions!$C$9-Assumptions!$C$20),E66/Assumptions!$C$9)</f>
        <v>100</v>
      </c>
      <c r="G66" s="290"/>
      <c r="H66" s="289">
        <f>'Management Struture'!F9</f>
        <v>40700</v>
      </c>
      <c r="I66" s="289">
        <f>IF($H$49&gt;=Assumptions!$C$19+1,H66/(Assumptions!$C$9-Assumptions!$C$20),H66/Assumptions!$C$9)</f>
        <v>100</v>
      </c>
      <c r="J66" s="290"/>
      <c r="K66" s="289">
        <f>'Management Struture'!F10</f>
        <v>40700</v>
      </c>
      <c r="L66" s="289">
        <f>IF($K$49&gt;=Assumptions!$C$19+1,K66/(Assumptions!$C$9-Assumptions!$C$20),K66/Assumptions!$C$9)</f>
        <v>100</v>
      </c>
      <c r="M66" s="275"/>
      <c r="N66" s="289">
        <f>'Management Struture'!F11</f>
        <v>162800</v>
      </c>
      <c r="O66" s="289">
        <f>IF($N$49&gt;=Assumptions!$C$19+1,N66/(Assumptions!$C$9-Assumptions!$C$20),N66/Assumptions!$C$9)</f>
        <v>400</v>
      </c>
      <c r="P66" s="275"/>
      <c r="Q66" s="289">
        <f>'Management Struture'!F12</f>
        <v>162800</v>
      </c>
      <c r="R66" s="289">
        <f>IF($Q$49&gt;=Assumptions!$C$19+1,Q66/(Assumptions!$C$9-Assumptions!$C$20),Q66/Assumptions!$C$9)</f>
        <v>400</v>
      </c>
      <c r="S66" s="275"/>
      <c r="T66" s="289">
        <f>'Management Struture'!F13</f>
        <v>162800</v>
      </c>
      <c r="U66" s="289">
        <f>IF($T$49&gt;=Assumptions!$C$19+1,T66/(Assumptions!$C$9-Assumptions!$C$20),T66/Assumptions!$C$9)</f>
        <v>400</v>
      </c>
      <c r="V66" s="275"/>
      <c r="W66" s="289">
        <f>'Management Struture'!F14</f>
        <v>114800</v>
      </c>
      <c r="X66" s="289">
        <f>IF($W$49&gt;=Assumptions!$C$19+1,W66/(Assumptions!$C$9-Assumptions!$C$20),W66/Assumptions!$C$9)</f>
        <v>400</v>
      </c>
      <c r="Y66" s="275"/>
      <c r="Z66" s="289">
        <f>'Management Struture'!F15</f>
        <v>114800</v>
      </c>
      <c r="AA66" s="289">
        <f>IF($Z$49&gt;=Assumptions!$C$19+1,Z66/(Assumptions!$C$9-Assumptions!$C$20),Z66/Assumptions!$C$9)</f>
        <v>400</v>
      </c>
      <c r="AB66" s="275"/>
      <c r="AC66" s="289">
        <f>'Management Struture'!F16</f>
        <v>114800</v>
      </c>
      <c r="AD66" s="289">
        <f>IF($AC$49&gt;=Assumptions!$C$19+1,AC66/(Assumptions!$C$9-Assumptions!$C$20),AC66/Assumptions!$C$9)</f>
        <v>400</v>
      </c>
      <c r="AE66" s="276"/>
      <c r="AF66" s="289">
        <f>'Management Struture'!F17</f>
        <v>114800</v>
      </c>
      <c r="AG66" s="289">
        <f>IF($AF$49&gt;=Assumptions!$C$19+1,AF66/(Assumptions!$C$9-Assumptions!$C$20),AF66/Assumptions!$C$9)</f>
        <v>400</v>
      </c>
      <c r="AH66" s="290"/>
    </row>
    <row r="67" spans="1:34" x14ac:dyDescent="0.35">
      <c r="A67" s="119" t="s">
        <v>258</v>
      </c>
      <c r="B67" s="289">
        <v>0</v>
      </c>
      <c r="C67" s="289">
        <v>0</v>
      </c>
      <c r="D67" s="290"/>
      <c r="E67" s="289">
        <f>IF($E$49=Assumptions!$C$19,Assumptions!$B$92*(Assumptions!$C$11-Assumptions!$C$21),Assumptions!$B$92*Assumptions!$C$11)</f>
        <v>3820</v>
      </c>
      <c r="F67" s="289">
        <f>IF($E$49&gt;=Assumptions!$C$19+1,E67/(Assumptions!$C$11-Assumptions!$C$21),E67/Assumptions!$C$11)</f>
        <v>10</v>
      </c>
      <c r="G67" s="290"/>
      <c r="H67" s="289">
        <f>IF(AND($H$49=Assumptions!$C$19+1,Assumptions!$D$92=1),(Proforma!$E$67/Assumptions!$C$11)*(Assumptions!$C$11-Assumptions!$C$21)*(1+Assumptions!$B$95),IF(AND($H$49=Assumptions!$C$19+1,Assumptions!$D$92=2),(Proforma!$E$67/Assumptions!$C$11)*(Assumptions!$C$11-Assumptions!$C$21),IF(Assumptions!$D$92=1,Proforma!$E$67*(1+Assumptions!$B$95),Proforma!$E$67)))</f>
        <v>3820</v>
      </c>
      <c r="I67" s="289">
        <f>IF($H$49&gt;=Assumptions!$C$19+1,H67/(Assumptions!$C$11-Assumptions!$C$21),H67/Assumptions!$C$11)</f>
        <v>10</v>
      </c>
      <c r="J67" s="290"/>
      <c r="K67" s="289">
        <f>IF(AND($K$49=Assumptions!$C$19+1,Assumptions!$D$92=1),(Proforma!$H$67/Assumptions!$C$11)*(Assumptions!$C$11-Assumptions!$C$21)*(1+Assumptions!$B$95),IF(AND($K$49=Assumptions!$C$19+1,Assumptions!$D$92=2),(Proforma!$H$67/Assumptions!$C$11)*(Assumptions!$C$11-Assumptions!$C$21),IF(Assumptions!$D$92=1,Proforma!$H$67*(1+Assumptions!$B$95),Proforma!$H$67)))</f>
        <v>3820</v>
      </c>
      <c r="L67" s="289">
        <f>IF($K$49&gt;=Assumptions!$C$19+1,K67/(Assumptions!$C$11-Assumptions!$C$21),K67/Assumptions!$C$11)</f>
        <v>10</v>
      </c>
      <c r="M67" s="275"/>
      <c r="N67" s="289">
        <f>IF(AND($N$49=Assumptions!$C$19+1,Assumptions!$D$92=1),(Proforma!$K$67/Assumptions!$C$11)*(Assumptions!$C$11-Assumptions!$C$21)*(1+Assumptions!$B$95),IF(AND($N$49=Assumptions!$C$19,Assumptions!$D$92=2),(Proforma!$K$67/Assumptions!$C$11)*(Assumptions!$C$11-Assumptions!$C$21),IF(Assumptions!$D$92=1,Proforma!$K$67*(1+Assumptions!$B$95),Proforma!$K$67)))</f>
        <v>3820</v>
      </c>
      <c r="O67" s="289">
        <f>IF($N$49&gt;=Assumptions!$C$19+1,N67/(Assumptions!$C$11-Assumptions!$C$21),N67/Assumptions!$C$11)</f>
        <v>10</v>
      </c>
      <c r="P67" s="275"/>
      <c r="Q67" s="289">
        <f>IF(AND($Q$49=Assumptions!$C$19+1,Assumptions!$D$92=1),(Proforma!$N$67/Assumptions!$C$11)*(Assumptions!$C$11-Assumptions!$C$21)*(1+Assumptions!$B$95),IF(AND($Q$49=Assumptions!$C$19+1,Assumptions!$D$92=2),(Proforma!$N$67/Assumptions!$C$11)*(Assumptions!$C$11-Assumptions!$C$21),IF(Assumptions!$D$92=1,Proforma!$N$67*(1+Assumptions!$B$95),Proforma!$N$67)))</f>
        <v>3820</v>
      </c>
      <c r="R67" s="289">
        <f>IF($Q$49&gt;=Assumptions!$C$19+1,Q67/(Assumptions!$C$11-Assumptions!$C$21),Q67/Assumptions!$C$11)</f>
        <v>10</v>
      </c>
      <c r="S67" s="275"/>
      <c r="T67" s="289">
        <f>IF(AND($T$49=Assumptions!$C$19+1,Assumptions!$D$92=1),(Proforma!$Q$67/Assumptions!$C$11)*(Assumptions!$C$11-Assumptions!$C$21)*(1+Assumptions!$B$95),IF(AND($T$49=Assumptions!$C$19+1,Assumptions!$D$92=2),(Proforma!$Q$67/Assumptions!$C$11)*(Assumptions!$C$11-Assumptions!$C$21),IF(Assumptions!$D$92=1,Proforma!$Q$67*(1+Assumptions!$B$95),Proforma!$Q$67)))</f>
        <v>3820</v>
      </c>
      <c r="U67" s="289">
        <f>IF($T$49&gt;=Assumptions!$C$19+1,T67/(Assumptions!$C$11-Assumptions!$C$21),T67/Assumptions!$C$11)</f>
        <v>10</v>
      </c>
      <c r="V67" s="275"/>
      <c r="W67" s="289">
        <f>IF(AND($W$49=Assumptions!$C$19+1,Assumptions!$D$92=1),(Proforma!$T$67/Assumptions!$C$11)*(Assumptions!$C$11-Assumptions!$C$21)*(1+Assumptions!$B$95),IF(AND($W$49=Assumptions!$C$19+1,Assumptions!$D$92=2),(Proforma!$T$67/Assumptions!$C$11)*(Assumptions!$C$11-Assumptions!$C$21),IF(Assumptions!$D$92=1,Proforma!$T$67*(1+Assumptions!$B$95),Proforma!$T$67)))</f>
        <v>2660</v>
      </c>
      <c r="X67" s="289">
        <f>IF($W$49&gt;=Assumptions!$C$19+1,W67/(Assumptions!$C$11-Assumptions!$C$21),W67/Assumptions!$C$11)</f>
        <v>10</v>
      </c>
      <c r="Y67" s="275"/>
      <c r="Z67" s="289">
        <f>IF(AND($Z$49=Assumptions!$C$19+1,Assumptions!$D$92=1),(Proforma!$W$67/Assumptions!$C$11)*(Assumptions!$C$11-Assumptions!$C$21)*(1+Assumptions!$B$95),IF(AND($Z$49=Assumptions!$C$19+1,Assumptions!$D$92=2),(Proforma!$W$67/Assumptions!$C$11)*(Assumptions!$C$11-Assumptions!$C$21),IF(Assumptions!$D$92=1,Proforma!$W$67*(1+Assumptions!$B$95),Proforma!$W$67)))</f>
        <v>2660</v>
      </c>
      <c r="AA67" s="289">
        <f>IF($Z$49&gt;=Assumptions!$C$19+1,Z67/(Assumptions!$C$11-Assumptions!$C$21),Z67/Assumptions!$C$11)</f>
        <v>10</v>
      </c>
      <c r="AB67" s="275"/>
      <c r="AC67" s="289">
        <f>IF(AND($AC$49=Assumptions!$C$19+1,Assumptions!$D$92=1),(Proforma!$Z$67/Assumptions!$C$11)*(Assumptions!$C$11-Assumptions!$C$21)*(1+Assumptions!$B$95),IF(AND($AC$49=Assumptions!$C$19+1,Assumptions!$D$92=2),(Proforma!$Z$67/Assumptions!$C$11)*(Assumptions!$C$11-Assumptions!$C$21),IF(Assumptions!$D$92=1,Proforma!$Z$67*(1+Assumptions!$B$95),Proforma!$Z$67)))</f>
        <v>2660</v>
      </c>
      <c r="AD67" s="289">
        <f>IF($AC$49&gt;=Assumptions!$C$19+1,AC67/(Assumptions!$C$11-Assumptions!$C$21),AC67/Assumptions!$C$11)</f>
        <v>10</v>
      </c>
      <c r="AE67" s="276"/>
      <c r="AF67" s="289">
        <f>IF(AND($AF$49=Assumptions!$C$19+1,Assumptions!$D$92=1),(Proforma!$AC$67/Assumptions!$C$11)*(Assumptions!$C$11-Assumptions!$C$21)*(1+Assumptions!$B$95),IF(AND($AF$49=Assumptions!$C$19+1,Assumptions!$D$92=2),(Proforma!$AC$67/Assumptions!$C$11)*(Assumptions!$C$11-Assumptions!$C$21),IF(Assumptions!$D$92=1,Proforma!$AC$67*(1+Assumptions!$B$95),Proforma!$AC$67)))</f>
        <v>2660</v>
      </c>
      <c r="AG67" s="289">
        <f>IF($AF$49&gt;=Assumptions!$C$19+1,AF67/(Assumptions!$C$11-Assumptions!$C$21),AF67/Assumptions!$C$11)</f>
        <v>10</v>
      </c>
      <c r="AH67" s="290"/>
    </row>
    <row r="68" spans="1:34" x14ac:dyDescent="0.35">
      <c r="A68" s="119" t="s">
        <v>257</v>
      </c>
      <c r="B68" s="289">
        <v>0</v>
      </c>
      <c r="C68" s="289">
        <v>0</v>
      </c>
      <c r="D68" s="290"/>
      <c r="E68" s="289">
        <f>IF($E$49=Assumptions!$C$19,Assumptions!$B$93*(Assumptions!$C$9-Assumptions!$C$20),Assumptions!$B$93*Assumptions!$C$9)</f>
        <v>40700</v>
      </c>
      <c r="F68" s="289">
        <f>IF($E$49&gt;=Assumptions!$C$19+1,E68/(Assumptions!$C$9-Assumptions!$C$20),E68/Assumptions!$C$9)</f>
        <v>100</v>
      </c>
      <c r="G68" s="290"/>
      <c r="H68" s="289">
        <f>IF(AND($H$49=Assumptions!$C$19+1,Assumptions!$D$93=1),(Proforma!$E$68/Assumptions!$C$9)*(Assumptions!$C$9-Assumptions!$C$20)*(1+Assumptions!$B$95),IF(AND($H$49=Assumptions!$C$19+1,Assumptions!$D$93=2),(Proforma!$E$68/Assumptions!$C$9)*(Assumptions!$C$9-Assumptions!$C$20),IF(Assumptions!$D$93=1,Proforma!$E$68*(1+Assumptions!$B$95),Proforma!$E$68)))</f>
        <v>41514</v>
      </c>
      <c r="I68" s="289">
        <f>IF($H$49&gt;=Assumptions!$C$19+1,H68/(Assumptions!$C$9-Assumptions!$C$20),H68/Assumptions!$C$9)</f>
        <v>102</v>
      </c>
      <c r="J68" s="290"/>
      <c r="K68" s="289">
        <f>IF(AND($K$49=Assumptions!$C$19+1,Assumptions!$D$93=1),(Proforma!$H$68/Assumptions!$C$9)*(Assumptions!$C$9-Assumptions!$C$20)*(1+Assumptions!$B$95),IF(AND($K$49=Assumptions!$C$19+1,Assumptions!$D$93=2),(Proforma!$H$68/Assumptions!$C$9)*(Assumptions!$C$9-Assumptions!$C$20),IF(Assumptions!$D$93=1,Proforma!$H$68*(1+Assumptions!$B$95),Proforma!$H$68)))</f>
        <v>42344.28</v>
      </c>
      <c r="L68" s="289">
        <f>IF($K$49&gt;=Assumptions!$C$19+1,K68/(Assumptions!$C$9-Assumptions!$C$20),K68/Assumptions!$C$9)</f>
        <v>104.03999999999999</v>
      </c>
      <c r="M68" s="275"/>
      <c r="N68" s="289">
        <f>IF(AND($N$49=Assumptions!$C$19+1,Assumptions!$D$93=1),(Proforma!$K$68/Assumptions!$C$9)*(Assumptions!$C$9-Assumptions!$C$20)*(1+Assumptions!$B$95),IF(AND($N$49=Assumptions!$C$19,Assumptions!$D$93=2),(Proforma!$K$68/Assumptions!$C$9)*(Assumptions!$C$9-Assumptions!$C$20),IF(Assumptions!$D$93=1,Proforma!$K$68*(1+Assumptions!$B$95),Proforma!$K$68)))</f>
        <v>43191.1656</v>
      </c>
      <c r="O68" s="289">
        <f>IF($N$49&gt;=Assumptions!$C$19+1,N68/(Assumptions!$C$9-Assumptions!$C$20),N68/Assumptions!$C$9)</f>
        <v>106.1208</v>
      </c>
      <c r="P68" s="275"/>
      <c r="Q68" s="289">
        <f>IF(AND($Q$49=Assumptions!$C$19+1,Assumptions!$D$93=1),(Proforma!$N$68/Assumptions!$C$9)*(Assumptions!$C$9-Assumptions!$C$20)*(1+Assumptions!$B$95),IF(AND($Q$49=Assumptions!$C$19,Assumptions!$D$93=2),(Proforma!$N$68/Assumptions!$C$9)*(Assumptions!$C$9-Assumptions!$C$20),IF(Assumptions!$D$93=1,Proforma!$N$68*(1+Assumptions!$B$95),Proforma!$N$68)))</f>
        <v>44054.988912000001</v>
      </c>
      <c r="R68" s="289">
        <f>IF($Q$49&gt;=Assumptions!$C$19+1,Q68/(Assumptions!$C$9-Assumptions!$C$20),Q68/Assumptions!$C$9)</f>
        <v>108.243216</v>
      </c>
      <c r="S68" s="275"/>
      <c r="T68" s="289">
        <f>IF(AND($T$49=Assumptions!$C$19+1,Assumptions!$D$93=1),(Proforma!$Q$68/Assumptions!$C$9)*(Assumptions!$C$9-Assumptions!$C$20)*(1+Assumptions!$B$95),IF(AND($T$49=Assumptions!$C$19,Assumptions!$D$93=2),(Proforma!$Q$68/Assumptions!$C$9)*(Assumptions!$C$9-Assumptions!$C$20),IF(Assumptions!$D$93=1,Proforma!$Q$68*(1+Assumptions!$B$95),Proforma!$Q$68)))</f>
        <v>44936.088690240002</v>
      </c>
      <c r="U68" s="289">
        <f>IF($T$49&gt;=Assumptions!$C$19+1,T68/(Assumptions!$C$9-Assumptions!$C$20),T68/Assumptions!$C$9)</f>
        <v>110.40808032000001</v>
      </c>
      <c r="V68" s="275"/>
      <c r="W68" s="289">
        <f>IF(AND($W$49=Assumptions!$C$19+1,Assumptions!$D$93=1),(Proforma!$T$68/Assumptions!$C$9)*(Assumptions!$C$9-Assumptions!$C$20)*(1+Assumptions!$B$95),IF(AND($W$49=Assumptions!$C$19,Assumptions!$D$93=2),(Proforma!$T$68/Assumptions!$C$9)*(Assumptions!$C$9-Assumptions!$C$20),IF(Assumptions!$D$93=1,Proforma!$T$68*(1+Assumptions!$B$95),Proforma!$T$68)))</f>
        <v>32320.861432876805</v>
      </c>
      <c r="X68" s="289">
        <f>IF($W$49&gt;=Assumptions!$C$19+1,W68/(Assumptions!$C$9-Assumptions!$C$20),W68/Assumptions!$C$9)</f>
        <v>112.61624192640002</v>
      </c>
      <c r="Y68" s="275"/>
      <c r="Z68" s="289">
        <f>IF(AND($Z$49=Assumptions!$C$19+1,Assumptions!$D$93=1),(Proforma!$W$68/Assumptions!$C$9)*(Assumptions!$C$9-Assumptions!$C$20)*(1+Assumptions!$B$95),IF(AND($Z$49=Assumptions!$C$19,Assumptions!$D$93=2),(Proforma!$W$68/Assumptions!$C$9)*(Assumptions!$C$9-Assumptions!$C$20),IF(Assumptions!$D$93=1,Proforma!$W$68*(1+Assumptions!$B$95),Proforma!$W$68)))</f>
        <v>32967.278661534343</v>
      </c>
      <c r="AA68" s="289">
        <f>IF($Z$49&gt;=Assumptions!$C$19+1,Z68/(Assumptions!$C$9-Assumptions!$C$20),Z68/Assumptions!$C$9)</f>
        <v>114.86856676492802</v>
      </c>
      <c r="AB68" s="275"/>
      <c r="AC68" s="289">
        <f>IF(AND($AC$49=Assumptions!$C$19+1,Assumptions!$D$93=1),(Proforma!$Z$68/Assumptions!$C$9)*(Assumptions!$C$9-Assumptions!$C$20)*(1+Assumptions!$B$95),IF(AND($AC$49=Assumptions!$C$19,Assumptions!$D$93=2),(Proforma!$Z$68/Assumptions!$C$9)*(Assumptions!$C$9-Assumptions!$C$20),IF(Assumptions!$D$93=1,Proforma!$Z$68*(1+Assumptions!$B$95),Proforma!$Z$68)))</f>
        <v>33626.624234765033</v>
      </c>
      <c r="AD68" s="289">
        <f>IF($AC$49&gt;=Assumptions!$C$19+1,AC68/(Assumptions!$C$9-Assumptions!$C$20),AC68/Assumptions!$C$9)</f>
        <v>117.1659381002266</v>
      </c>
      <c r="AE68" s="276"/>
      <c r="AF68" s="289">
        <f>IF(AND($AF$49=Assumptions!$C$19+1,Assumptions!$D$93=1),(Proforma!$AC$68/Assumptions!$C$9)*(Assumptions!$C$9-Assumptions!$C$20)*(1+Assumptions!$B$95),IF(AND($AF$49=Assumptions!$C$19,Assumptions!$D$93=2),(Proforma!$AC$68/Assumptions!$C$9)*(Assumptions!$C$9-Assumptions!$C$20),IF(Assumptions!$D$93=1,Proforma!$AC$68*(1+Assumptions!$B$95),Proforma!$AC$68)))</f>
        <v>34299.156719460334</v>
      </c>
      <c r="AG68" s="289">
        <f>IF($AC$49&gt;=Assumptions!$C$19+1,AF68/(Assumptions!$C$9-Assumptions!$C$20),AF68/Assumptions!$C$9)</f>
        <v>119.50925686223113</v>
      </c>
      <c r="AH68" s="290"/>
    </row>
    <row r="69" spans="1:34" x14ac:dyDescent="0.35">
      <c r="A69" s="119" t="s">
        <v>259</v>
      </c>
      <c r="B69" s="289">
        <v>0</v>
      </c>
      <c r="C69" s="289">
        <v>0</v>
      </c>
      <c r="D69" s="290"/>
      <c r="E69" s="289">
        <f>IF($E$49=Assumptions!$C$19,(Assumptions!$B$94*Assumptions!$C$28*((Assumptions!$C$11-Assumptions!$C$21)/(Assumptions!$C$8-Assumptions!$C$21))),Assumptions!$B$94*Assumptions!$C$28*(Assumptions!$C$11/Assumptions!$C$8))</f>
        <v>68020.240700218827</v>
      </c>
      <c r="F69" s="289">
        <f>IF($E$49&gt;=Assumptions!$C$19+1,E69/(Assumptions!$C$11-Assumptions!$C$21),E69/Assumptions!$C$11)</f>
        <v>178.06345733041579</v>
      </c>
      <c r="G69" s="290"/>
      <c r="H69" s="289">
        <f>E69</f>
        <v>68020.240700218827</v>
      </c>
      <c r="I69" s="289">
        <f>IF($H$49&gt;=Assumptions!$C$19+1,H69/(Assumptions!$C$11-Assumptions!$C$21),H69/Assumptions!$C$11)</f>
        <v>178.06345733041579</v>
      </c>
      <c r="J69" s="290"/>
      <c r="K69" s="289">
        <f>H69</f>
        <v>68020.240700218827</v>
      </c>
      <c r="L69" s="289">
        <f>IF($K$49&gt;=Assumptions!$C$19+1,K69/(Assumptions!$C$11-Assumptions!$C$21),K69/Assumptions!$C$11)</f>
        <v>178.06345733041579</v>
      </c>
      <c r="M69" s="275"/>
      <c r="N69" s="289">
        <f>K69</f>
        <v>68020.240700218827</v>
      </c>
      <c r="O69" s="289">
        <f>IF($N$49&gt;=Assumptions!$C$19+1,N69/(Assumptions!$C$11-Assumptions!$C$21),N69/Assumptions!$C$11)</f>
        <v>178.06345733041579</v>
      </c>
      <c r="P69" s="275"/>
      <c r="Q69" s="289">
        <f>N69</f>
        <v>68020.240700218827</v>
      </c>
      <c r="R69" s="289">
        <f>IF($Q$49&gt;=Assumptions!$C$19+1,Q69/(Assumptions!$C$11-Assumptions!$C$21),Q69/Assumptions!$C$11)</f>
        <v>178.06345733041579</v>
      </c>
      <c r="S69" s="275"/>
      <c r="T69" s="289">
        <f>Q69</f>
        <v>68020.240700218827</v>
      </c>
      <c r="U69" s="289">
        <f>IF($T$49&gt;=Assumptions!$C$19+1,T69/(Assumptions!$C$11-Assumptions!$C$21),T69/Assumptions!$C$11)</f>
        <v>178.06345733041579</v>
      </c>
      <c r="V69" s="275"/>
      <c r="W69" s="289">
        <f>T69</f>
        <v>68020.240700218827</v>
      </c>
      <c r="X69" s="289">
        <f>IF($W$49&gt;=Assumptions!$C$19+1,W69/(Assumptions!$C$11-Assumptions!$C$21),W69/Assumptions!$C$11)</f>
        <v>255.7151906023264</v>
      </c>
      <c r="Y69" s="275"/>
      <c r="Z69" s="289">
        <f>W69</f>
        <v>68020.240700218827</v>
      </c>
      <c r="AA69" s="289">
        <f>IF($Z$49&gt;=Assumptions!$C$19+1,Z69/(Assumptions!$C$11-Assumptions!$C$21),Z69/Assumptions!$C$11)</f>
        <v>255.7151906023264</v>
      </c>
      <c r="AB69" s="275"/>
      <c r="AC69" s="289">
        <f>Z69</f>
        <v>68020.240700218827</v>
      </c>
      <c r="AD69" s="289">
        <f>IF($AC$49&gt;=Assumptions!$C$19+1,AC69/(Assumptions!$C$11-Assumptions!$C$21),AC69/Assumptions!$C$11)</f>
        <v>255.7151906023264</v>
      </c>
      <c r="AE69" s="276"/>
      <c r="AF69" s="289">
        <f>AC69</f>
        <v>68020.240700218827</v>
      </c>
      <c r="AG69" s="289">
        <f>IF($AF$49&gt;=Assumptions!$C$19+1,AF69/(Assumptions!$C$11-Assumptions!$C$21),AF69/Assumptions!$C$11)</f>
        <v>255.7151906023264</v>
      </c>
      <c r="AH69" s="290"/>
    </row>
    <row r="70" spans="1:34" x14ac:dyDescent="0.35">
      <c r="A70" s="121" t="s">
        <v>108</v>
      </c>
      <c r="B70" s="292">
        <f>SUM(B56:B69)</f>
        <v>0</v>
      </c>
      <c r="C70" s="292">
        <f>SUM(C56:C69)</f>
        <v>0</v>
      </c>
      <c r="D70" s="290"/>
      <c r="E70" s="292">
        <f>SUM(E56:E69)</f>
        <v>2543129.6588727813</v>
      </c>
      <c r="F70" s="292">
        <f>SUM(F56:F69)</f>
        <v>6634.1744996669677</v>
      </c>
      <c r="G70" s="290"/>
      <c r="H70" s="292">
        <f>SUM(H56:H69)</f>
        <v>2566405.2852496398</v>
      </c>
      <c r="I70" s="292">
        <f>SUM(I56:I69)</f>
        <v>6694.8502231665971</v>
      </c>
      <c r="J70" s="290"/>
      <c r="K70" s="292">
        <f>SUM(K56:K69)</f>
        <v>2590062.9533934225</v>
      </c>
      <c r="L70" s="292">
        <f>SUM(L56:L69)</f>
        <v>6756.5209512916826</v>
      </c>
      <c r="M70" s="275"/>
      <c r="N70" s="292">
        <f>SUM(N56:N69)</f>
        <v>2736200.2526423358</v>
      </c>
      <c r="O70" s="292">
        <f>SUM(O56:O69)</f>
        <v>7119.1802713150146</v>
      </c>
      <c r="P70" s="275"/>
      <c r="Q70" s="292">
        <f>SUM(Q56:Q69)</f>
        <v>2760629.2026236048</v>
      </c>
      <c r="R70" s="292">
        <f>SUM(R56:R69)</f>
        <v>7182.8595440932068</v>
      </c>
      <c r="S70" s="275"/>
      <c r="T70" s="292">
        <f>SUM(T56:T69)</f>
        <v>2778252.2088154028</v>
      </c>
      <c r="U70" s="292">
        <f>SUM(U56:U69)</f>
        <v>7229.8745427802705</v>
      </c>
      <c r="V70" s="275"/>
      <c r="W70" s="292">
        <f>SUM(W56:W69)</f>
        <v>2050951.24960797</v>
      </c>
      <c r="X70" s="292">
        <f>SUM(X56:X69)</f>
        <v>6919.7628398610732</v>
      </c>
      <c r="Y70" s="275"/>
      <c r="Z70" s="292">
        <f>SUM(Z56:Z69)</f>
        <v>2066281.0831067602</v>
      </c>
      <c r="AA70" s="292">
        <f>SUM(AA56:AA69)</f>
        <v>6986.5516811201614</v>
      </c>
      <c r="AB70" s="275"/>
      <c r="AC70" s="292">
        <f>SUM(AC56:AC69)</f>
        <v>2081815.923993485</v>
      </c>
      <c r="AD70" s="292">
        <f>SUM(AD56:AD69)</f>
        <v>7054.4103586755291</v>
      </c>
      <c r="AE70" s="276"/>
      <c r="AF70" s="292">
        <f>SUM(AF56:AF69)</f>
        <v>2097554.0388234742</v>
      </c>
      <c r="AG70" s="292">
        <f>SUM(AG56:AG69)</f>
        <v>7123.344998068731</v>
      </c>
      <c r="AH70" s="290"/>
    </row>
    <row r="71" spans="1:34" x14ac:dyDescent="0.35">
      <c r="A71" s="121"/>
      <c r="B71" s="293"/>
      <c r="C71" s="293"/>
      <c r="D71" s="290"/>
      <c r="E71" s="293"/>
      <c r="F71" s="293"/>
      <c r="G71" s="290"/>
      <c r="H71" s="293"/>
      <c r="I71" s="293"/>
      <c r="J71" s="290"/>
      <c r="K71" s="293"/>
      <c r="L71" s="293"/>
      <c r="M71" s="275"/>
      <c r="N71" s="293"/>
      <c r="O71" s="293"/>
      <c r="P71" s="275"/>
      <c r="Q71" s="293"/>
      <c r="R71" s="293"/>
      <c r="S71" s="275"/>
      <c r="T71" s="293"/>
      <c r="U71" s="293"/>
      <c r="V71" s="275"/>
      <c r="W71" s="293"/>
      <c r="X71" s="293"/>
      <c r="Y71" s="275"/>
      <c r="Z71" s="293"/>
      <c r="AA71" s="293"/>
      <c r="AB71" s="275"/>
      <c r="AC71" s="293"/>
      <c r="AD71" s="293"/>
      <c r="AE71" s="276"/>
      <c r="AF71" s="293"/>
      <c r="AG71" s="293"/>
      <c r="AH71" s="290"/>
    </row>
    <row r="72" spans="1:34" x14ac:dyDescent="0.35">
      <c r="A72" s="74" t="s">
        <v>286</v>
      </c>
      <c r="B72" s="294">
        <f>IF(B49=Assumptions!$C$19,Sale!$B$28,0)</f>
        <v>0</v>
      </c>
      <c r="C72" s="294"/>
      <c r="D72" s="290"/>
      <c r="E72" s="294">
        <f>IF(E49=Assumptions!$C$19,Sale!$B$28,0)</f>
        <v>0</v>
      </c>
      <c r="F72" s="294">
        <f>IF(F49=Assumptions!$C$19,Sale!$C$28,0)</f>
        <v>0</v>
      </c>
      <c r="G72" s="290"/>
      <c r="H72" s="294">
        <f>IF(H49=Assumptions!$C$19,Sale!$B$28,0)</f>
        <v>0</v>
      </c>
      <c r="I72" s="294">
        <f>IF(H49=Assumptions!$C$19,Sale!$C$28,0)</f>
        <v>0</v>
      </c>
      <c r="J72" s="290"/>
      <c r="K72" s="294">
        <f>IF(K49=Assumptions!$C$19,Sale!$B$28,0)</f>
        <v>0</v>
      </c>
      <c r="L72" s="294">
        <f>IF(K49=Assumptions!$C$19,Sale!$C$28,0)</f>
        <v>0</v>
      </c>
      <c r="M72" s="275"/>
      <c r="N72" s="294">
        <f>IF(N49=Assumptions!$C$19,Sale!$B$28,0)</f>
        <v>0</v>
      </c>
      <c r="O72" s="294">
        <f>IF(N49=Assumptions!$C$19,Sale!$C$28,0)</f>
        <v>0</v>
      </c>
      <c r="P72" s="275"/>
      <c r="Q72" s="294">
        <f>IF(Q49=Assumptions!$C$19,Sale!$B$28,0)</f>
        <v>0</v>
      </c>
      <c r="R72" s="294">
        <f>IF(Q49=Assumptions!$C$19,Sale!$C$28,0)</f>
        <v>0</v>
      </c>
      <c r="S72" s="275"/>
      <c r="T72" s="294">
        <f>IF(T49=Assumptions!$C$19,Sale!$B$28,0)</f>
        <v>0</v>
      </c>
      <c r="U72" s="294">
        <f>IF(T49=Assumptions!$C$19,Sale!$C$28,0)</f>
        <v>0</v>
      </c>
      <c r="V72" s="275"/>
      <c r="W72" s="294">
        <f>IF(W49=Assumptions!$C$19,Sale!$B$28,0)</f>
        <v>0</v>
      </c>
      <c r="X72" s="294">
        <f>IF(W49=Assumptions!$C$19,Sale!$C$28,0)</f>
        <v>0</v>
      </c>
      <c r="Y72" s="275"/>
      <c r="Z72" s="294">
        <f>IF(Z49=Assumptions!$C$19,Sale!$B$28,0)</f>
        <v>0</v>
      </c>
      <c r="AA72" s="294">
        <f>IF(Z49=Assumptions!$C$19,Sale!$C$28,0)</f>
        <v>0</v>
      </c>
      <c r="AB72" s="275"/>
      <c r="AC72" s="294">
        <f>IF(AC49=Assumptions!$C$19,Sale!$B$28,0)</f>
        <v>0</v>
      </c>
      <c r="AD72" s="294">
        <f>IF(AC49=Assumptions!$C$19,Sale!$C$28,0)</f>
        <v>0</v>
      </c>
      <c r="AE72" s="276"/>
      <c r="AF72" s="294">
        <f>Exit!B28</f>
        <v>13460220</v>
      </c>
      <c r="AG72" s="294">
        <f>Exit!C28</f>
        <v>36281</v>
      </c>
      <c r="AH72" s="290"/>
    </row>
    <row r="73" spans="1:34" x14ac:dyDescent="0.35">
      <c r="A73" s="115"/>
      <c r="B73" s="295"/>
      <c r="C73" s="295"/>
      <c r="D73" s="290"/>
      <c r="E73" s="295"/>
      <c r="F73" s="295"/>
      <c r="G73" s="290"/>
      <c r="H73" s="295"/>
      <c r="I73" s="295"/>
      <c r="J73" s="290"/>
      <c r="K73" s="293"/>
      <c r="L73" s="293"/>
      <c r="M73" s="275"/>
      <c r="N73" s="293"/>
      <c r="O73" s="293"/>
      <c r="P73" s="275"/>
      <c r="Q73" s="293"/>
      <c r="R73" s="293"/>
      <c r="S73" s="275"/>
      <c r="T73" s="293"/>
      <c r="U73" s="293"/>
      <c r="V73" s="275"/>
      <c r="W73" s="293"/>
      <c r="X73" s="293"/>
      <c r="Y73" s="275"/>
      <c r="Z73" s="293"/>
      <c r="AA73" s="293"/>
      <c r="AB73" s="275"/>
      <c r="AC73" s="293"/>
      <c r="AD73" s="293"/>
      <c r="AE73" s="276"/>
      <c r="AF73" s="293"/>
      <c r="AG73" s="293"/>
      <c r="AH73" s="290"/>
    </row>
    <row r="74" spans="1:34" ht="16" thickBot="1" x14ac:dyDescent="0.4">
      <c r="A74" s="74" t="s">
        <v>104</v>
      </c>
      <c r="B74" s="296">
        <f>B53-B70</f>
        <v>0</v>
      </c>
      <c r="C74" s="296">
        <f>C53-C70</f>
        <v>0</v>
      </c>
      <c r="D74" s="290"/>
      <c r="E74" s="296">
        <f>E53-E70+E72</f>
        <v>-2543129.6588727813</v>
      </c>
      <c r="F74" s="296">
        <f>F53-F70</f>
        <v>-6634.1744996669677</v>
      </c>
      <c r="G74" s="290"/>
      <c r="H74" s="296">
        <f>H53-H70+H72</f>
        <v>12094.714750360232</v>
      </c>
      <c r="I74" s="296">
        <f>I53-I70</f>
        <v>55.149776833402939</v>
      </c>
      <c r="J74" s="290"/>
      <c r="K74" s="296">
        <f>K53-K70+K72</f>
        <v>65792.046606577467</v>
      </c>
      <c r="L74" s="296">
        <f>L53-L70</f>
        <v>195.97904870831735</v>
      </c>
      <c r="M74" s="275"/>
      <c r="N74" s="296">
        <f>N53-N70+N72</f>
        <v>-669.60264233592898</v>
      </c>
      <c r="O74" s="296">
        <f>O53-O70</f>
        <v>41.894728684985239</v>
      </c>
      <c r="P74" s="275"/>
      <c r="Q74" s="296">
        <f>Q53-Q70+Q72</f>
        <v>56967.366876394954</v>
      </c>
      <c r="R74" s="296">
        <f>R53-R70</f>
        <v>193.04770590679254</v>
      </c>
      <c r="S74" s="275"/>
      <c r="T74" s="296">
        <f>T53-T70+T72</f>
        <v>123872.25776959723</v>
      </c>
      <c r="U74" s="296">
        <f>U53-U70</f>
        <v>367.30992471972968</v>
      </c>
      <c r="V74" s="275"/>
      <c r="W74" s="296">
        <f>W53-W70+W72</f>
        <v>938236.9509745799</v>
      </c>
      <c r="X74" s="296">
        <f>X53-X70</f>
        <v>905.33716166392696</v>
      </c>
      <c r="Y74" s="275"/>
      <c r="Z74" s="296">
        <f>Z53-Z70+Z72</f>
        <v>77639.815311059589</v>
      </c>
      <c r="AA74" s="296">
        <f>AA53-AA70</f>
        <v>1073.3013204505896</v>
      </c>
      <c r="AB74" s="275"/>
      <c r="AC74" s="296">
        <f>AC53-AC70+AC72</f>
        <v>126422.60137686925</v>
      </c>
      <c r="AD74" s="296">
        <f>AD53-AD70</f>
        <v>1247.2382329423444</v>
      </c>
      <c r="AE74" s="276"/>
      <c r="AF74" s="296">
        <f>AF53-AF70+AF72</f>
        <v>15979871.893873399</v>
      </c>
      <c r="AG74" s="296">
        <f>AG53-AG70</f>
        <v>10234.572042145077</v>
      </c>
      <c r="AH74" s="290"/>
    </row>
    <row r="75" spans="1:34" ht="16" thickTop="1" x14ac:dyDescent="0.35">
      <c r="B75" s="117"/>
      <c r="C75" s="117"/>
      <c r="D75" s="180"/>
      <c r="E75" s="117"/>
      <c r="F75" s="117"/>
      <c r="G75" s="180"/>
      <c r="H75" s="204"/>
      <c r="I75" s="117"/>
      <c r="J75" s="180"/>
      <c r="K75" s="117"/>
      <c r="L75" s="117"/>
      <c r="M75" s="176"/>
      <c r="N75" s="117"/>
      <c r="O75" s="117"/>
      <c r="P75" s="176"/>
      <c r="Q75" s="117"/>
      <c r="R75" s="117"/>
      <c r="S75" s="176"/>
      <c r="T75" s="117"/>
      <c r="U75" s="117"/>
      <c r="V75" s="176"/>
      <c r="W75" s="117"/>
      <c r="X75" s="117"/>
      <c r="Y75" s="176"/>
      <c r="Z75" s="117"/>
      <c r="AA75" s="117"/>
      <c r="AB75" s="176"/>
      <c r="AC75" s="117"/>
      <c r="AD75" s="117"/>
      <c r="AE75" s="181"/>
      <c r="AF75" s="117"/>
      <c r="AG75" s="117"/>
      <c r="AH75" s="180"/>
    </row>
    <row r="76" spans="1:34" x14ac:dyDescent="0.35">
      <c r="A76" s="127" t="str">
        <f>A1</f>
        <v>C5 Farming, LLC</v>
      </c>
      <c r="B76" s="117"/>
      <c r="C76" s="117"/>
      <c r="D76" s="180"/>
      <c r="E76" s="117"/>
      <c r="F76" s="117"/>
      <c r="G76" s="180"/>
      <c r="H76" s="117"/>
      <c r="I76" s="117"/>
      <c r="J76" s="180"/>
      <c r="K76" s="117"/>
      <c r="L76" s="117"/>
      <c r="M76" s="176"/>
      <c r="N76" s="117"/>
      <c r="O76" s="117"/>
      <c r="P76" s="176"/>
      <c r="Q76" s="117"/>
      <c r="R76" s="117"/>
      <c r="S76" s="176"/>
      <c r="T76" s="117"/>
      <c r="U76" s="117"/>
      <c r="V76" s="176"/>
      <c r="W76" s="117"/>
      <c r="X76" s="117"/>
      <c r="Y76" s="176"/>
      <c r="Z76" s="117"/>
      <c r="AA76" s="117"/>
      <c r="AB76" s="176"/>
      <c r="AC76" s="117"/>
      <c r="AD76" s="117"/>
      <c r="AE76" s="181"/>
      <c r="AF76" s="117"/>
      <c r="AG76" s="117"/>
      <c r="AH76" s="180"/>
    </row>
    <row r="77" spans="1:34" x14ac:dyDescent="0.35">
      <c r="A77" s="128" t="s">
        <v>124</v>
      </c>
      <c r="B77" s="117"/>
      <c r="C77" s="117"/>
      <c r="D77" s="180"/>
      <c r="E77" s="117"/>
      <c r="F77" s="117"/>
      <c r="G77" s="180"/>
      <c r="H77" s="117"/>
      <c r="I77" s="117"/>
      <c r="J77" s="180"/>
      <c r="K77" s="117"/>
      <c r="L77" s="117"/>
      <c r="M77" s="176"/>
      <c r="N77" s="117"/>
      <c r="O77" s="117"/>
      <c r="P77" s="176"/>
      <c r="Q77" s="117"/>
      <c r="R77" s="117"/>
      <c r="S77" s="176"/>
      <c r="T77" s="117"/>
      <c r="U77" s="117"/>
      <c r="V77" s="176"/>
      <c r="W77" s="117"/>
      <c r="X77" s="117"/>
      <c r="Y77" s="176"/>
      <c r="Z77" s="117"/>
      <c r="AA77" s="117"/>
      <c r="AB77" s="176"/>
      <c r="AC77" s="117"/>
      <c r="AD77" s="117"/>
      <c r="AE77" s="181"/>
      <c r="AF77" s="117"/>
      <c r="AG77" s="117"/>
      <c r="AH77" s="180"/>
    </row>
    <row r="78" spans="1:34" x14ac:dyDescent="0.35">
      <c r="A78" s="128" t="s">
        <v>66</v>
      </c>
      <c r="B78" s="117"/>
      <c r="C78" s="117"/>
      <c r="D78" s="180"/>
      <c r="E78" s="117"/>
      <c r="F78" s="117"/>
      <c r="G78" s="180"/>
      <c r="H78" s="117"/>
      <c r="I78" s="117"/>
      <c r="J78" s="180"/>
      <c r="K78" s="117"/>
      <c r="L78" s="117"/>
      <c r="M78" s="176"/>
      <c r="N78" s="117"/>
      <c r="O78" s="117"/>
      <c r="P78" s="176"/>
      <c r="Q78" s="117"/>
      <c r="R78" s="117"/>
      <c r="S78" s="176"/>
      <c r="T78" s="117"/>
      <c r="U78" s="117"/>
      <c r="V78" s="176"/>
      <c r="W78" s="117"/>
      <c r="X78" s="117"/>
      <c r="Y78" s="176"/>
      <c r="Z78" s="117"/>
      <c r="AA78" s="117"/>
      <c r="AB78" s="176"/>
      <c r="AC78" s="117"/>
      <c r="AD78" s="117"/>
      <c r="AE78" s="181"/>
      <c r="AF78" s="117"/>
      <c r="AG78" s="117"/>
      <c r="AH78" s="180"/>
    </row>
    <row r="79" spans="1:34" x14ac:dyDescent="0.35">
      <c r="A79" s="91"/>
      <c r="B79" s="369">
        <f>B3</f>
        <v>2021</v>
      </c>
      <c r="C79" s="369"/>
      <c r="D79" s="175"/>
      <c r="E79" s="369">
        <f>E3</f>
        <v>2022</v>
      </c>
      <c r="F79" s="369"/>
      <c r="G79" s="176"/>
      <c r="H79" s="369">
        <f>H3</f>
        <v>2023</v>
      </c>
      <c r="I79" s="369"/>
      <c r="J79" s="176"/>
      <c r="K79" s="369">
        <f>K3</f>
        <v>2024</v>
      </c>
      <c r="L79" s="369"/>
      <c r="N79" s="369">
        <f>N3</f>
        <v>2025</v>
      </c>
      <c r="O79" s="369"/>
      <c r="P79" s="175"/>
      <c r="Q79" s="369">
        <f>Q3</f>
        <v>2026</v>
      </c>
      <c r="R79" s="369"/>
      <c r="S79" s="175"/>
      <c r="T79" s="369">
        <f>T3</f>
        <v>2027</v>
      </c>
      <c r="U79" s="369"/>
      <c r="V79" s="175"/>
      <c r="W79" s="369">
        <f>W3</f>
        <v>2028</v>
      </c>
      <c r="X79" s="369"/>
      <c r="Y79" s="175"/>
      <c r="Z79" s="369">
        <f>Z3</f>
        <v>2029</v>
      </c>
      <c r="AA79" s="369"/>
      <c r="AB79" s="175"/>
      <c r="AC79" s="369">
        <f>AC3</f>
        <v>2030</v>
      </c>
      <c r="AD79" s="369"/>
      <c r="AE79" s="175"/>
      <c r="AF79" s="369">
        <f>AF3</f>
        <v>2031</v>
      </c>
      <c r="AG79" s="369"/>
      <c r="AH79" s="175"/>
    </row>
    <row r="80" spans="1:34" x14ac:dyDescent="0.35">
      <c r="A80" s="91"/>
      <c r="B80" s="370">
        <f>B4</f>
        <v>0</v>
      </c>
      <c r="C80" s="370"/>
      <c r="D80" s="176"/>
      <c r="E80" s="370">
        <f>E4</f>
        <v>1</v>
      </c>
      <c r="F80" s="370"/>
      <c r="G80" s="176"/>
      <c r="H80" s="370">
        <f>H4</f>
        <v>2</v>
      </c>
      <c r="I80" s="370"/>
      <c r="J80" s="176"/>
      <c r="K80" s="370">
        <f>K4</f>
        <v>3</v>
      </c>
      <c r="L80" s="370"/>
      <c r="N80" s="370">
        <f>N4</f>
        <v>4</v>
      </c>
      <c r="O80" s="370"/>
      <c r="P80" s="175"/>
      <c r="Q80" s="370">
        <f>Q4</f>
        <v>5</v>
      </c>
      <c r="R80" s="370"/>
      <c r="S80" s="175"/>
      <c r="T80" s="370">
        <f>T4</f>
        <v>6</v>
      </c>
      <c r="U80" s="370"/>
      <c r="V80" s="175"/>
      <c r="W80" s="370">
        <f>W4</f>
        <v>7</v>
      </c>
      <c r="X80" s="370"/>
      <c r="Y80" s="175"/>
      <c r="Z80" s="370">
        <f>Z4</f>
        <v>8</v>
      </c>
      <c r="AA80" s="370"/>
      <c r="AB80" s="175"/>
      <c r="AC80" s="370">
        <f>AC4</f>
        <v>9</v>
      </c>
      <c r="AD80" s="370"/>
      <c r="AE80" s="175"/>
      <c r="AF80" s="370">
        <f>AF4</f>
        <v>10</v>
      </c>
      <c r="AG80" s="370"/>
      <c r="AH80" s="176"/>
    </row>
    <row r="81" spans="1:34" x14ac:dyDescent="0.35">
      <c r="A81" s="77"/>
      <c r="B81" s="118"/>
      <c r="C81" s="118"/>
      <c r="D81" s="180"/>
      <c r="E81" s="118"/>
      <c r="F81" s="118"/>
      <c r="G81" s="180"/>
      <c r="H81" s="116"/>
      <c r="I81" s="116"/>
      <c r="J81" s="180"/>
      <c r="K81" s="116"/>
      <c r="L81" s="116"/>
      <c r="M81" s="176"/>
      <c r="N81" s="92"/>
      <c r="O81" s="93"/>
      <c r="P81" s="176"/>
      <c r="Q81" s="92"/>
      <c r="R81" s="93"/>
      <c r="S81" s="176"/>
      <c r="T81" s="92"/>
      <c r="U81" s="93"/>
      <c r="V81" s="176"/>
      <c r="W81" s="92"/>
      <c r="X81" s="93"/>
      <c r="Y81" s="176"/>
      <c r="Z81" s="87"/>
      <c r="AA81" s="93"/>
      <c r="AB81" s="176"/>
      <c r="AC81" s="87"/>
      <c r="AD81" s="93"/>
      <c r="AE81" s="181"/>
      <c r="AF81" s="77"/>
      <c r="AG81" s="77"/>
      <c r="AH81" s="181"/>
    </row>
    <row r="82" spans="1:34" x14ac:dyDescent="0.35">
      <c r="A82" s="74" t="s">
        <v>105</v>
      </c>
      <c r="B82" s="116"/>
      <c r="C82" s="116"/>
      <c r="D82" s="180"/>
      <c r="E82" s="116"/>
      <c r="F82" s="116"/>
      <c r="G82" s="180"/>
      <c r="H82" s="116"/>
      <c r="I82" s="116"/>
      <c r="J82" s="180"/>
      <c r="K82" s="116"/>
      <c r="L82" s="116"/>
      <c r="M82" s="176"/>
      <c r="N82" s="92"/>
      <c r="O82" s="93"/>
      <c r="P82" s="176"/>
      <c r="Q82" s="92"/>
      <c r="R82" s="93"/>
      <c r="S82" s="176"/>
      <c r="T82" s="92"/>
      <c r="U82" s="93"/>
      <c r="V82" s="176"/>
      <c r="W82" s="92"/>
      <c r="X82" s="93"/>
      <c r="Y82" s="176"/>
      <c r="Z82" s="87"/>
      <c r="AA82" s="93"/>
      <c r="AB82" s="176"/>
      <c r="AC82" s="87"/>
      <c r="AD82" s="93"/>
      <c r="AE82" s="181"/>
      <c r="AF82" s="77"/>
      <c r="AG82" s="77"/>
      <c r="AH82" s="181"/>
    </row>
    <row r="83" spans="1:34" x14ac:dyDescent="0.35">
      <c r="A83" s="120" t="s">
        <v>66</v>
      </c>
      <c r="B83" s="348">
        <v>0</v>
      </c>
      <c r="C83" s="289">
        <v>0</v>
      </c>
      <c r="D83" s="290"/>
      <c r="E83" s="348">
        <v>0</v>
      </c>
      <c r="F83" s="289">
        <f>E83/Assumptions!$C$12</f>
        <v>0</v>
      </c>
      <c r="G83" s="290"/>
      <c r="H83" s="289">
        <f>H86*Assumptions!$C$74*Assumptions!$C$12</f>
        <v>421785.00000000006</v>
      </c>
      <c r="I83" s="289">
        <f>H83/Assumptions!$C$12</f>
        <v>5623.8000000000011</v>
      </c>
      <c r="J83" s="290"/>
      <c r="K83" s="289">
        <f>K86*Assumptions!$C$75*Assumptions!$C$12</f>
        <v>537876.30000000005</v>
      </c>
      <c r="L83" s="289">
        <f>K83/Assumptions!$C$12</f>
        <v>7171.6840000000002</v>
      </c>
      <c r="M83" s="275"/>
      <c r="N83" s="289">
        <f>N86*Assumptions!$C$76*Assumptions!$C$12</f>
        <v>703169.8245000001</v>
      </c>
      <c r="O83" s="289">
        <f>N83/Assumptions!$C$12</f>
        <v>9375.5976600000013</v>
      </c>
      <c r="P83" s="275"/>
      <c r="Q83" s="289">
        <f>Q86*Assumptions!$C$76*Assumptions!$C$12</f>
        <v>724264.91923500015</v>
      </c>
      <c r="R83" s="289">
        <f>Q83/Assumptions!$C$12</f>
        <v>9656.8655898000015</v>
      </c>
      <c r="S83" s="275"/>
      <c r="T83" s="289">
        <f>T86*Assumptions!$C$76*Assumptions!$C$12</f>
        <v>745992.86681205023</v>
      </c>
      <c r="U83" s="289">
        <f>T83/Assumptions!$C$12</f>
        <v>9946.5715574940023</v>
      </c>
      <c r="V83" s="275"/>
      <c r="W83" s="289">
        <f>W86*Assumptions!$C$76*Assumptions!$C$12</f>
        <v>768372.65281641181</v>
      </c>
      <c r="X83" s="289">
        <f>W83/Assumptions!$C$12</f>
        <v>10244.968704218823</v>
      </c>
      <c r="Y83" s="275"/>
      <c r="Z83" s="289">
        <f>Z86*Assumptions!$C$76*Assumptions!$C$12</f>
        <v>791423.83240090404</v>
      </c>
      <c r="AA83" s="289">
        <f>Z83/Assumptions!$C$12</f>
        <v>10552.317765345388</v>
      </c>
      <c r="AB83" s="275"/>
      <c r="AC83" s="289">
        <f>AC86*Assumptions!$C$76*Assumptions!$C$12</f>
        <v>815166.54737293127</v>
      </c>
      <c r="AD83" s="289">
        <f>AC83/Assumptions!$C$12</f>
        <v>10868.88729830575</v>
      </c>
      <c r="AE83" s="276"/>
      <c r="AF83" s="289">
        <f>(AF86*Assumptions!$C$76*Assumptions!$C$12)*2</f>
        <v>1679243.0875882381</v>
      </c>
      <c r="AG83" s="289">
        <f>AF83/Assumptions!$C$12</f>
        <v>22389.907834509842</v>
      </c>
      <c r="AH83" s="290"/>
    </row>
    <row r="84" spans="1:34" x14ac:dyDescent="0.35">
      <c r="A84" s="121" t="s">
        <v>106</v>
      </c>
      <c r="B84" s="292">
        <f>SUM(B83)</f>
        <v>0</v>
      </c>
      <c r="C84" s="292">
        <f>SUM(C83)</f>
        <v>0</v>
      </c>
      <c r="D84" s="290"/>
      <c r="E84" s="292">
        <f>SUM(E83)</f>
        <v>0</v>
      </c>
      <c r="F84" s="292">
        <f>SUM(F83)</f>
        <v>0</v>
      </c>
      <c r="G84" s="290"/>
      <c r="H84" s="292">
        <f>SUM(H83)</f>
        <v>421785.00000000006</v>
      </c>
      <c r="I84" s="292">
        <f>SUM(I83)</f>
        <v>5623.8000000000011</v>
      </c>
      <c r="J84" s="290"/>
      <c r="K84" s="292">
        <f>SUM(K83)</f>
        <v>537876.30000000005</v>
      </c>
      <c r="L84" s="292">
        <f>SUM(L83)</f>
        <v>7171.6840000000002</v>
      </c>
      <c r="M84" s="275"/>
      <c r="N84" s="292">
        <f>SUM(N83)</f>
        <v>703169.8245000001</v>
      </c>
      <c r="O84" s="292">
        <f>SUM(O83)</f>
        <v>9375.5976600000013</v>
      </c>
      <c r="P84" s="275"/>
      <c r="Q84" s="292">
        <f>SUM(Q83)</f>
        <v>724264.91923500015</v>
      </c>
      <c r="R84" s="292">
        <f>SUM(R83)</f>
        <v>9656.8655898000015</v>
      </c>
      <c r="S84" s="275"/>
      <c r="T84" s="292">
        <f>SUM(T83)</f>
        <v>745992.86681205023</v>
      </c>
      <c r="U84" s="292">
        <f>SUM(U83)</f>
        <v>9946.5715574940023</v>
      </c>
      <c r="V84" s="275"/>
      <c r="W84" s="292">
        <f>SUM(W83)</f>
        <v>768372.65281641181</v>
      </c>
      <c r="X84" s="292">
        <f>SUM(X83)</f>
        <v>10244.968704218823</v>
      </c>
      <c r="Y84" s="275"/>
      <c r="Z84" s="292">
        <f>SUM(Z83)</f>
        <v>791423.83240090404</v>
      </c>
      <c r="AA84" s="292">
        <f>SUM(AA83)</f>
        <v>10552.317765345388</v>
      </c>
      <c r="AB84" s="275"/>
      <c r="AC84" s="292">
        <f>SUM(AC83)</f>
        <v>815166.54737293127</v>
      </c>
      <c r="AD84" s="292">
        <f>SUM(AD83)</f>
        <v>10868.88729830575</v>
      </c>
      <c r="AE84" s="276"/>
      <c r="AF84" s="292">
        <f>SUM(AF83)</f>
        <v>1679243.0875882381</v>
      </c>
      <c r="AG84" s="292">
        <f>SUM(AG83)</f>
        <v>22389.907834509842</v>
      </c>
      <c r="AH84" s="290"/>
    </row>
    <row r="85" spans="1:34" x14ac:dyDescent="0.35">
      <c r="A85" s="115"/>
      <c r="B85" s="295"/>
      <c r="C85" s="295"/>
      <c r="D85" s="290"/>
      <c r="E85" s="295"/>
      <c r="F85" s="295"/>
      <c r="G85" s="290"/>
      <c r="H85" s="295"/>
      <c r="I85" s="350">
        <f>IFERROR((I84-F84)/F84,0)</f>
        <v>0</v>
      </c>
      <c r="J85" s="290"/>
      <c r="K85" s="295"/>
      <c r="L85" s="126">
        <f>(L84-I84)/I84</f>
        <v>0.275238095238095</v>
      </c>
      <c r="M85" s="275"/>
      <c r="N85" s="295"/>
      <c r="O85" s="350">
        <f>(O84-L84)/L84</f>
        <v>0.30730769230769245</v>
      </c>
      <c r="P85" s="275"/>
      <c r="Q85" s="295"/>
      <c r="R85" s="350">
        <f>(R84-O84)/O84</f>
        <v>3.0000000000000027E-2</v>
      </c>
      <c r="S85" s="275"/>
      <c r="T85" s="295"/>
      <c r="U85" s="350">
        <f>(U84-R84)/R84</f>
        <v>3.0000000000000068E-2</v>
      </c>
      <c r="V85" s="275"/>
      <c r="W85" s="295"/>
      <c r="X85" s="350">
        <f>(X84-U84)/U84</f>
        <v>3.0000000000000106E-2</v>
      </c>
      <c r="Y85" s="275"/>
      <c r="Z85" s="295"/>
      <c r="AA85" s="350">
        <f>(AA84-X84)/X84</f>
        <v>2.9999999999999957E-2</v>
      </c>
      <c r="AB85" s="275"/>
      <c r="AC85" s="295"/>
      <c r="AD85" s="350">
        <f>(AD84-AA84)/AA84</f>
        <v>3.0000000000000061E-2</v>
      </c>
      <c r="AE85" s="276"/>
      <c r="AF85" s="295"/>
      <c r="AG85" s="350">
        <f>(AG84-AD84)/AD84</f>
        <v>1.0599999999999998</v>
      </c>
      <c r="AH85" s="297"/>
    </row>
    <row r="86" spans="1:34" x14ac:dyDescent="0.35">
      <c r="A86" s="115"/>
      <c r="B86" s="295"/>
      <c r="C86" s="295"/>
      <c r="D86" s="290"/>
      <c r="E86" s="361">
        <f>+Assumptions!C71</f>
        <v>2.6</v>
      </c>
      <c r="F86" s="295"/>
      <c r="G86" s="290"/>
      <c r="H86" s="360">
        <f>+E86*(1+Assumptions!$C$72)</f>
        <v>2.6780000000000004</v>
      </c>
      <c r="I86" s="350"/>
      <c r="J86" s="290"/>
      <c r="K86" s="360">
        <f>+H86*(1+Assumptions!$C$72)</f>
        <v>2.7583400000000005</v>
      </c>
      <c r="L86" s="126"/>
      <c r="M86" s="275"/>
      <c r="N86" s="360">
        <f>+K86*(1+Assumptions!$C$72)</f>
        <v>2.8410902000000005</v>
      </c>
      <c r="O86" s="350"/>
      <c r="P86" s="275"/>
      <c r="Q86" s="360">
        <f>+N86*(1+Assumptions!$C$72)</f>
        <v>2.9263229060000007</v>
      </c>
      <c r="R86" s="350"/>
      <c r="S86" s="275"/>
      <c r="T86" s="360">
        <f>+Q86*(1+Assumptions!$C$72)</f>
        <v>3.0141125931800006</v>
      </c>
      <c r="U86" s="350"/>
      <c r="V86" s="275"/>
      <c r="W86" s="360">
        <f>+T86*(1+Assumptions!$C$72)</f>
        <v>3.1045359709754008</v>
      </c>
      <c r="X86" s="350"/>
      <c r="Y86" s="275"/>
      <c r="Z86" s="360">
        <f>+W86*(1+Assumptions!$C$72)</f>
        <v>3.1976720501046629</v>
      </c>
      <c r="AA86" s="350"/>
      <c r="AB86" s="275"/>
      <c r="AC86" s="360">
        <f>+Z86*(1+Assumptions!$C$72)</f>
        <v>3.2936022116078028</v>
      </c>
      <c r="AD86" s="350"/>
      <c r="AE86" s="276"/>
      <c r="AF86" s="360">
        <f>+AC86*(1+Assumptions!$C$72)</f>
        <v>3.3924102779560368</v>
      </c>
      <c r="AG86" s="350"/>
      <c r="AH86" s="297"/>
    </row>
    <row r="87" spans="1:34" x14ac:dyDescent="0.35">
      <c r="A87" s="115"/>
      <c r="B87" s="295"/>
      <c r="C87" s="295"/>
      <c r="D87" s="290"/>
      <c r="E87" s="361"/>
      <c r="F87" s="295"/>
      <c r="G87" s="290"/>
      <c r="H87" s="360"/>
      <c r="I87" s="350"/>
      <c r="J87" s="290"/>
      <c r="K87" s="360"/>
      <c r="L87" s="126"/>
      <c r="M87" s="275"/>
      <c r="N87" s="360"/>
      <c r="O87" s="350"/>
      <c r="P87" s="275"/>
      <c r="Q87" s="360"/>
      <c r="R87" s="350"/>
      <c r="S87" s="275"/>
      <c r="T87" s="360"/>
      <c r="U87" s="350"/>
      <c r="V87" s="275"/>
      <c r="W87" s="360"/>
      <c r="X87" s="350"/>
      <c r="Y87" s="275"/>
      <c r="Z87" s="360"/>
      <c r="AA87" s="350"/>
      <c r="AB87" s="275"/>
      <c r="AC87" s="360"/>
      <c r="AD87" s="350"/>
      <c r="AE87" s="276"/>
      <c r="AF87" s="360"/>
      <c r="AG87" s="350"/>
      <c r="AH87" s="297"/>
    </row>
    <row r="88" spans="1:34" x14ac:dyDescent="0.35">
      <c r="A88" s="74" t="s">
        <v>193</v>
      </c>
      <c r="B88" s="295"/>
      <c r="C88" s="295"/>
      <c r="D88" s="290"/>
      <c r="E88" s="295"/>
      <c r="F88" s="295"/>
      <c r="G88" s="290"/>
      <c r="H88" s="295"/>
      <c r="I88" s="295"/>
      <c r="J88" s="290"/>
      <c r="K88" s="295"/>
      <c r="L88" s="295"/>
      <c r="M88" s="275"/>
      <c r="N88" s="295"/>
      <c r="O88" s="295"/>
      <c r="P88" s="275"/>
      <c r="Q88" s="295"/>
      <c r="R88" s="295"/>
      <c r="S88" s="275"/>
      <c r="T88" s="295"/>
      <c r="U88" s="295"/>
      <c r="V88" s="275"/>
      <c r="W88" s="295"/>
      <c r="X88" s="295"/>
      <c r="Y88" s="275"/>
      <c r="Z88" s="295"/>
      <c r="AA88" s="295"/>
      <c r="AB88" s="275"/>
      <c r="AC88" s="295"/>
      <c r="AD88" s="295"/>
      <c r="AE88" s="276"/>
      <c r="AF88" s="295"/>
      <c r="AG88" s="295"/>
      <c r="AH88" s="290"/>
    </row>
    <row r="89" spans="1:34" x14ac:dyDescent="0.35">
      <c r="A89" s="119" t="s">
        <v>249</v>
      </c>
      <c r="B89" s="289">
        <v>0</v>
      </c>
      <c r="C89" s="289">
        <v>0</v>
      </c>
      <c r="D89" s="290"/>
      <c r="E89" s="289">
        <f>Assumptions!$B$81*Assumptions!$C$10</f>
        <v>3200</v>
      </c>
      <c r="F89" s="289">
        <f>E89/Assumptions!$C$10</f>
        <v>40</v>
      </c>
      <c r="G89" s="290"/>
      <c r="H89" s="289">
        <f>IF(Assumptions!$D$81=1,E89*(1+Assumptions!$B$95),E89)</f>
        <v>3264</v>
      </c>
      <c r="I89" s="289">
        <f>H89/Assumptions!$C$10</f>
        <v>40.799999999999997</v>
      </c>
      <c r="J89" s="290"/>
      <c r="K89" s="289">
        <f>IF(Assumptions!$D$81=1,H89*(1+Assumptions!$B$95),H89)</f>
        <v>3329.28</v>
      </c>
      <c r="L89" s="289">
        <f>K89/Assumptions!$C$10</f>
        <v>41.616</v>
      </c>
      <c r="M89" s="275"/>
      <c r="N89" s="289">
        <f>IF(Assumptions!$D$81=1,K89*(1+Assumptions!$B$95),K89)</f>
        <v>3395.8656000000001</v>
      </c>
      <c r="O89" s="289">
        <f>N89/Assumptions!$C$10</f>
        <v>42.448320000000002</v>
      </c>
      <c r="P89" s="275"/>
      <c r="Q89" s="289">
        <f>IF(Assumptions!$D$81=1,N89*(1+Assumptions!$B$95),N89)</f>
        <v>3463.7829120000001</v>
      </c>
      <c r="R89" s="289">
        <f>Q89/Assumptions!$C$10</f>
        <v>43.297286400000004</v>
      </c>
      <c r="S89" s="275"/>
      <c r="T89" s="289">
        <f>IF(Assumptions!$D$81=1,Q89*(1+Assumptions!$B$95),Q89)</f>
        <v>3533.0585702400003</v>
      </c>
      <c r="U89" s="289">
        <f>T89/Assumptions!$C$10</f>
        <v>44.163232128000004</v>
      </c>
      <c r="V89" s="275"/>
      <c r="W89" s="289">
        <f>IF(Assumptions!$D$81=1,T89*(1+Assumptions!$B$95),T89)</f>
        <v>3603.7197416448003</v>
      </c>
      <c r="X89" s="289">
        <f>W89/Assumptions!$C$10</f>
        <v>45.046496770560005</v>
      </c>
      <c r="Y89" s="275"/>
      <c r="Z89" s="289">
        <f>IF(Assumptions!$D$81=1,W89*(1+Assumptions!$B$95),W89)</f>
        <v>3675.7941364776962</v>
      </c>
      <c r="AA89" s="289">
        <f>Z89/Assumptions!$C$10</f>
        <v>45.947426705971203</v>
      </c>
      <c r="AB89" s="275"/>
      <c r="AC89" s="289">
        <f>IF(Assumptions!$D$81=1,Z89*(1+Assumptions!$B$95),Z89)</f>
        <v>3749.3100192072502</v>
      </c>
      <c r="AD89" s="289">
        <f>AC89/Assumptions!$C$10</f>
        <v>46.866375240090626</v>
      </c>
      <c r="AE89" s="276"/>
      <c r="AF89" s="289">
        <f>IF(Assumptions!$D$81=1,AC89*(1+Assumptions!$B$95),AC89)</f>
        <v>3824.2962195913951</v>
      </c>
      <c r="AG89" s="289">
        <f>AF89/Assumptions!$C$10</f>
        <v>47.803702744892441</v>
      </c>
      <c r="AH89" s="290"/>
    </row>
    <row r="90" spans="1:34" x14ac:dyDescent="0.35">
      <c r="A90" s="119" t="s">
        <v>250</v>
      </c>
      <c r="B90" s="289">
        <v>0</v>
      </c>
      <c r="C90" s="289">
        <v>0</v>
      </c>
      <c r="D90" s="290"/>
      <c r="E90" s="289">
        <f>Assumptions!$B$82*Assumptions!$C$10</f>
        <v>4800</v>
      </c>
      <c r="F90" s="289">
        <f>E90/Assumptions!$C$10</f>
        <v>60</v>
      </c>
      <c r="G90" s="290"/>
      <c r="H90" s="289">
        <f>IF(Assumptions!$D$82=1,E90*(1+Assumptions!$B$95),E90)</f>
        <v>4800</v>
      </c>
      <c r="I90" s="289">
        <f>H90/Assumptions!$C$10</f>
        <v>60</v>
      </c>
      <c r="J90" s="290"/>
      <c r="K90" s="289">
        <f>IF(Assumptions!$D$82=1,H90*(1+Assumptions!$B$95),H90)</f>
        <v>4800</v>
      </c>
      <c r="L90" s="289">
        <f>K90/Assumptions!$C$10</f>
        <v>60</v>
      </c>
      <c r="M90" s="275"/>
      <c r="N90" s="289">
        <f>IF(Assumptions!$D$82=1,K90*(1+Assumptions!$B$95),K90)</f>
        <v>4800</v>
      </c>
      <c r="O90" s="289">
        <f>N90/Assumptions!$C$10</f>
        <v>60</v>
      </c>
      <c r="P90" s="275"/>
      <c r="Q90" s="289">
        <f>IF(Assumptions!$D$82=1,N90*(1+Assumptions!$B$95),N90)</f>
        <v>4800</v>
      </c>
      <c r="R90" s="289">
        <f>Q90/Assumptions!$C$10</f>
        <v>60</v>
      </c>
      <c r="S90" s="275"/>
      <c r="T90" s="289">
        <f>IF(Assumptions!$D$82=1,Q90*(1+Assumptions!$B$95),Q90)</f>
        <v>4800</v>
      </c>
      <c r="U90" s="289">
        <f>T90/Assumptions!$C$10</f>
        <v>60</v>
      </c>
      <c r="V90" s="275"/>
      <c r="W90" s="289">
        <f>IF(Assumptions!$D$82=1,T90*(1+Assumptions!$B$95),T90)</f>
        <v>4800</v>
      </c>
      <c r="X90" s="289">
        <f>W90/Assumptions!$C$10</f>
        <v>60</v>
      </c>
      <c r="Y90" s="275"/>
      <c r="Z90" s="289">
        <f>IF(Assumptions!$D$82=1,W90*(1+Assumptions!$B$95),W90)</f>
        <v>4800</v>
      </c>
      <c r="AA90" s="289">
        <f>Z90/Assumptions!$C$10</f>
        <v>60</v>
      </c>
      <c r="AB90" s="275"/>
      <c r="AC90" s="289">
        <f>IF(Assumptions!$D$82=1,Z90*(1+Assumptions!$B$95),Z90)</f>
        <v>4800</v>
      </c>
      <c r="AD90" s="289">
        <f>AC90/Assumptions!$C$10</f>
        <v>60</v>
      </c>
      <c r="AE90" s="276"/>
      <c r="AF90" s="289">
        <f>IF(Assumptions!$D$82=1,AC90*(1+Assumptions!$B$95),AC90)</f>
        <v>4800</v>
      </c>
      <c r="AG90" s="289">
        <f>AF90/Assumptions!$C$10</f>
        <v>60</v>
      </c>
      <c r="AH90" s="290"/>
    </row>
    <row r="91" spans="1:34" x14ac:dyDescent="0.35">
      <c r="A91" s="119" t="s">
        <v>251</v>
      </c>
      <c r="B91" s="289">
        <v>0</v>
      </c>
      <c r="C91" s="289">
        <v>0</v>
      </c>
      <c r="D91" s="290"/>
      <c r="E91" s="289">
        <f>Assumptions!$B$83*Assumptions!$C$10</f>
        <v>1600</v>
      </c>
      <c r="F91" s="289">
        <f>E91/Assumptions!$C$10</f>
        <v>20</v>
      </c>
      <c r="G91" s="290"/>
      <c r="H91" s="289">
        <f>IF(Assumptions!$D$83=1,E91*(1+Assumptions!$B$95),E91)</f>
        <v>1632</v>
      </c>
      <c r="I91" s="289">
        <f>H91/Assumptions!$C$10</f>
        <v>20.399999999999999</v>
      </c>
      <c r="J91" s="290"/>
      <c r="K91" s="289">
        <f>IF(Assumptions!$D$83=1,H91*(1+Assumptions!$B$95),H91)</f>
        <v>1664.64</v>
      </c>
      <c r="L91" s="289">
        <f>K91/Assumptions!$C$10</f>
        <v>20.808</v>
      </c>
      <c r="M91" s="275"/>
      <c r="N91" s="289">
        <f>IF(Assumptions!$D$83=1,K91*(1+Assumptions!$B$95),K91)</f>
        <v>1697.9328</v>
      </c>
      <c r="O91" s="289">
        <f>N91/Assumptions!$C$10</f>
        <v>21.224160000000001</v>
      </c>
      <c r="P91" s="275"/>
      <c r="Q91" s="289">
        <f>IF(Assumptions!$D$83=1,N91*(1+Assumptions!$B$95),N91)</f>
        <v>1731.8914560000001</v>
      </c>
      <c r="R91" s="289">
        <f>Q91/Assumptions!$C$10</f>
        <v>21.648643200000002</v>
      </c>
      <c r="S91" s="275"/>
      <c r="T91" s="289">
        <f>IF(Assumptions!$D$83=1,Q91*(1+Assumptions!$B$95),Q91)</f>
        <v>1766.5292851200002</v>
      </c>
      <c r="U91" s="289">
        <f>T91/Assumptions!$C$10</f>
        <v>22.081616064000002</v>
      </c>
      <c r="V91" s="275"/>
      <c r="W91" s="289">
        <f>IF(Assumptions!$D$83=1,T91*(1+Assumptions!$B$95),T91)</f>
        <v>1801.8598708224001</v>
      </c>
      <c r="X91" s="289">
        <f>W91/Assumptions!$C$10</f>
        <v>22.523248385280002</v>
      </c>
      <c r="Y91" s="275"/>
      <c r="Z91" s="289">
        <f>IF(Assumptions!$D$83=1,W91*(1+Assumptions!$B$95),W91)</f>
        <v>1837.8970682388481</v>
      </c>
      <c r="AA91" s="289">
        <f>Z91/Assumptions!$C$10</f>
        <v>22.973713352985602</v>
      </c>
      <c r="AB91" s="275"/>
      <c r="AC91" s="289">
        <f>IF(Assumptions!$D$83=1,Z91*(1+Assumptions!$B$95),Z91)</f>
        <v>1874.6550096036251</v>
      </c>
      <c r="AD91" s="289">
        <f>AC91/Assumptions!$C$10</f>
        <v>23.433187620045313</v>
      </c>
      <c r="AE91" s="276"/>
      <c r="AF91" s="289">
        <f>IF(Assumptions!$D$83=1,AC91*(1+Assumptions!$B$95),AC91)</f>
        <v>1912.1481097956976</v>
      </c>
      <c r="AG91" s="289">
        <f>AF91/Assumptions!$C$10</f>
        <v>23.90185137244622</v>
      </c>
      <c r="AH91" s="290"/>
    </row>
    <row r="92" spans="1:34" x14ac:dyDescent="0.35">
      <c r="A92" s="119" t="s">
        <v>252</v>
      </c>
      <c r="B92" s="289">
        <v>0</v>
      </c>
      <c r="C92" s="289">
        <v>0</v>
      </c>
      <c r="D92" s="290"/>
      <c r="E92" s="289">
        <f>Assumptions!$B$84*Assumptions!$C$12</f>
        <v>4875</v>
      </c>
      <c r="F92" s="289">
        <f>E92/Assumptions!$C$12</f>
        <v>65</v>
      </c>
      <c r="G92" s="290"/>
      <c r="H92" s="289">
        <f>IF(Assumptions!$D$84=1,E92*(1+Assumptions!$B$95),E92)</f>
        <v>4875</v>
      </c>
      <c r="I92" s="289">
        <f>H92/Assumptions!$C$12</f>
        <v>65</v>
      </c>
      <c r="J92" s="290"/>
      <c r="K92" s="289">
        <f>IF(Assumptions!$D$84=1,H92*(1+Assumptions!$B$95),H92)</f>
        <v>4875</v>
      </c>
      <c r="L92" s="289">
        <f>K92/Assumptions!$C$12</f>
        <v>65</v>
      </c>
      <c r="M92" s="275"/>
      <c r="N92" s="289">
        <f>IF(Assumptions!$D$84=1,K92*(1+Assumptions!$B$95),K92)</f>
        <v>4875</v>
      </c>
      <c r="O92" s="289">
        <f>N92/Assumptions!$C$12</f>
        <v>65</v>
      </c>
      <c r="P92" s="275"/>
      <c r="Q92" s="289">
        <f>IF(Assumptions!$D$84=1,N92*(1+Assumptions!$B$95),N92)</f>
        <v>4875</v>
      </c>
      <c r="R92" s="289">
        <f>Q92/Assumptions!$C$12</f>
        <v>65</v>
      </c>
      <c r="S92" s="275"/>
      <c r="T92" s="289">
        <f>IF(Assumptions!$D$84=1,Q92*(1+Assumptions!$B$95),Q92)</f>
        <v>4875</v>
      </c>
      <c r="U92" s="289">
        <f>T92/Assumptions!$C$12</f>
        <v>65</v>
      </c>
      <c r="V92" s="275"/>
      <c r="W92" s="289">
        <f>IF(Assumptions!$D$84=1,T92*(1+Assumptions!$B$95),T92)</f>
        <v>4875</v>
      </c>
      <c r="X92" s="289">
        <f>W92/Assumptions!$C$12</f>
        <v>65</v>
      </c>
      <c r="Y92" s="275"/>
      <c r="Z92" s="289">
        <f>IF(Assumptions!$D$84=1,W92*(1+Assumptions!$B$95),W92)</f>
        <v>4875</v>
      </c>
      <c r="AA92" s="289">
        <f>Z92/Assumptions!$C$12</f>
        <v>65</v>
      </c>
      <c r="AB92" s="275"/>
      <c r="AC92" s="289">
        <f>IF(Assumptions!$D$84=1,Z92*(1+Assumptions!$B$95),Z92)</f>
        <v>4875</v>
      </c>
      <c r="AD92" s="289">
        <f>AC92/Assumptions!$C$12</f>
        <v>65</v>
      </c>
      <c r="AE92" s="276"/>
      <c r="AF92" s="289">
        <f>IF(Assumptions!$D$84=1,AC92*(1+Assumptions!$B$95),AC92)</f>
        <v>4875</v>
      </c>
      <c r="AG92" s="289">
        <f>AF92/Assumptions!$C$12</f>
        <v>65</v>
      </c>
      <c r="AH92" s="290"/>
    </row>
    <row r="93" spans="1:34" x14ac:dyDescent="0.35">
      <c r="A93" s="119" t="s">
        <v>253</v>
      </c>
      <c r="B93" s="289">
        <v>0</v>
      </c>
      <c r="C93" s="289">
        <v>0</v>
      </c>
      <c r="D93" s="290"/>
      <c r="E93" s="289">
        <f>Assumptions!$B$86*Assumptions!$C$12</f>
        <v>198975</v>
      </c>
      <c r="F93" s="289">
        <f>E93/Assumptions!$C$12</f>
        <v>2653</v>
      </c>
      <c r="G93" s="290"/>
      <c r="H93" s="289">
        <f>IF(Assumptions!$D$86=1,E93*(1+Assumptions!$B$95),E93)</f>
        <v>202954.5</v>
      </c>
      <c r="I93" s="289">
        <f>H93/Assumptions!$C$12</f>
        <v>2706.06</v>
      </c>
      <c r="J93" s="290"/>
      <c r="K93" s="289">
        <f>IF(Assumptions!$D$86=1,H93*(1+Assumptions!$B$95),H93)</f>
        <v>207013.59</v>
      </c>
      <c r="L93" s="289">
        <f>K93/Assumptions!$C$12</f>
        <v>2760.1812</v>
      </c>
      <c r="M93" s="275"/>
      <c r="N93" s="289">
        <f>IF(Assumptions!$D$86=1,K93*(1+Assumptions!$B$95),K93)</f>
        <v>211153.86180000001</v>
      </c>
      <c r="O93" s="289">
        <f>N93/Assumptions!$C$12</f>
        <v>2815.3848240000002</v>
      </c>
      <c r="P93" s="275"/>
      <c r="Q93" s="289">
        <f>IF(Assumptions!$D$86=1,N93*(1+Assumptions!$B$95),N93)</f>
        <v>215376.93903600003</v>
      </c>
      <c r="R93" s="289">
        <f>Q93/Assumptions!$C$12</f>
        <v>2871.6925204800004</v>
      </c>
      <c r="S93" s="275"/>
      <c r="T93" s="289">
        <f>IF(Assumptions!$D$86=1,Q93*(1+Assumptions!$B$95),Q93)</f>
        <v>219684.47781672003</v>
      </c>
      <c r="U93" s="289">
        <f>T93/Assumptions!$C$12</f>
        <v>2929.1263708896004</v>
      </c>
      <c r="V93" s="275"/>
      <c r="W93" s="289">
        <f>IF(Assumptions!$D$86=1,T93*(1+Assumptions!$B$95),T93)</f>
        <v>224078.16737305443</v>
      </c>
      <c r="X93" s="289">
        <f>W93/Assumptions!$C$12</f>
        <v>2987.7088983073922</v>
      </c>
      <c r="Y93" s="275"/>
      <c r="Z93" s="289">
        <f>IF(Assumptions!$D$86=1,W93*(1+Assumptions!$B$95),W93)</f>
        <v>228559.73072051551</v>
      </c>
      <c r="AA93" s="289">
        <f>Z93/Assumptions!$C$12</f>
        <v>3047.4630762735401</v>
      </c>
      <c r="AB93" s="275"/>
      <c r="AC93" s="289">
        <f>IF(Assumptions!$D$86=1,Z93*(1+Assumptions!$B$95),Z93)</f>
        <v>233130.92533492582</v>
      </c>
      <c r="AD93" s="289">
        <f>AC93/Assumptions!$C$12</f>
        <v>3108.4123377990109</v>
      </c>
      <c r="AE93" s="276"/>
      <c r="AF93" s="289">
        <f>IF(Assumptions!$D$86=1,AC93*(1+Assumptions!$B$95),AC93)</f>
        <v>237793.54384162434</v>
      </c>
      <c r="AG93" s="289">
        <f>AF93/Assumptions!$C$12</f>
        <v>3170.5805845549912</v>
      </c>
      <c r="AH93" s="290"/>
    </row>
    <row r="94" spans="1:34" x14ac:dyDescent="0.35">
      <c r="A94" s="119" t="s">
        <v>122</v>
      </c>
      <c r="B94" s="289">
        <v>0</v>
      </c>
      <c r="C94" s="289">
        <v>0</v>
      </c>
      <c r="D94" s="290"/>
      <c r="E94" s="289">
        <f>'Depreciation Deduction'!C22</f>
        <v>120000</v>
      </c>
      <c r="F94" s="289">
        <f>E94/Assumptions!$C$12</f>
        <v>1600</v>
      </c>
      <c r="G94" s="290"/>
      <c r="H94" s="289">
        <f>'Depreciation Deduction'!C23</f>
        <v>120000</v>
      </c>
      <c r="I94" s="289">
        <f>H94/Assumptions!$C$12</f>
        <v>1600</v>
      </c>
      <c r="J94" s="290"/>
      <c r="K94" s="289">
        <f>'Depreciation Deduction'!C24</f>
        <v>120000</v>
      </c>
      <c r="L94" s="289">
        <f>K94/Assumptions!$C$12</f>
        <v>1600</v>
      </c>
      <c r="M94" s="275"/>
      <c r="N94" s="289">
        <f>'Depreciation Deduction'!C25</f>
        <v>120000</v>
      </c>
      <c r="O94" s="289">
        <f>N94/Assumptions!$C$12</f>
        <v>1600</v>
      </c>
      <c r="P94" s="275"/>
      <c r="Q94" s="289">
        <f>'Depreciation Deduction'!C26</f>
        <v>120000</v>
      </c>
      <c r="R94" s="289">
        <f>Q94/Assumptions!$C$12</f>
        <v>1600</v>
      </c>
      <c r="S94" s="275"/>
      <c r="T94" s="289">
        <f>'Depreciation Deduction'!C27</f>
        <v>120000</v>
      </c>
      <c r="U94" s="289">
        <f>T94/Assumptions!$C$12</f>
        <v>1600</v>
      </c>
      <c r="V94" s="275"/>
      <c r="W94" s="289">
        <f>'Depreciation Deduction'!C28</f>
        <v>120000</v>
      </c>
      <c r="X94" s="289">
        <f>W94/Assumptions!$C$12</f>
        <v>1600</v>
      </c>
      <c r="Y94" s="275"/>
      <c r="Z94" s="289">
        <f>'Depreciation Deduction'!C29</f>
        <v>120000</v>
      </c>
      <c r="AA94" s="289">
        <f>Z94/Assumptions!$C$12</f>
        <v>1600</v>
      </c>
      <c r="AB94" s="275"/>
      <c r="AC94" s="289">
        <f>'Depreciation Deduction'!C30</f>
        <v>120000</v>
      </c>
      <c r="AD94" s="289">
        <f>AC94/Assumptions!$C$12</f>
        <v>1600</v>
      </c>
      <c r="AE94" s="276"/>
      <c r="AF94" s="289">
        <f>'Depreciation Deduction'!C31</f>
        <v>120000</v>
      </c>
      <c r="AG94" s="289">
        <f>AF94/Assumptions!$C$12</f>
        <v>1600</v>
      </c>
      <c r="AH94" s="290"/>
    </row>
    <row r="95" spans="1:34" x14ac:dyDescent="0.35">
      <c r="A95" s="119" t="s">
        <v>254</v>
      </c>
      <c r="B95" s="289">
        <v>0</v>
      </c>
      <c r="C95" s="289">
        <v>0</v>
      </c>
      <c r="D95" s="290"/>
      <c r="E95" s="289">
        <f>Assumptions!$B$89*Assumptions!$C$12</f>
        <v>750</v>
      </c>
      <c r="F95" s="289">
        <f>E95/Assumptions!$C$12</f>
        <v>10</v>
      </c>
      <c r="G95" s="290"/>
      <c r="H95" s="289">
        <f>IF(Assumptions!$D$89=1,E95*(1+Assumptions!$B$95),E95)</f>
        <v>750</v>
      </c>
      <c r="I95" s="289">
        <f>H95/Assumptions!$C$12</f>
        <v>10</v>
      </c>
      <c r="J95" s="290"/>
      <c r="K95" s="289">
        <f>IF(Assumptions!$D$89=1,H95*(1+Assumptions!$B$95),H95)</f>
        <v>750</v>
      </c>
      <c r="L95" s="289">
        <f>K95/Assumptions!$C$12</f>
        <v>10</v>
      </c>
      <c r="M95" s="275"/>
      <c r="N95" s="289">
        <f>IF(Assumptions!$D$89=1,K95*(1+Assumptions!$B$95),K95)</f>
        <v>750</v>
      </c>
      <c r="O95" s="289">
        <f>N95/Assumptions!$C$12</f>
        <v>10</v>
      </c>
      <c r="P95" s="275"/>
      <c r="Q95" s="289">
        <f>IF(Assumptions!$D$89=1,N95*(1+Assumptions!$B$95),N95)</f>
        <v>750</v>
      </c>
      <c r="R95" s="289">
        <f>Q95/Assumptions!$C$12</f>
        <v>10</v>
      </c>
      <c r="S95" s="275"/>
      <c r="T95" s="289">
        <f>IF(Assumptions!$D$89=1,Q95*(1+Assumptions!$B$95),Q95)</f>
        <v>750</v>
      </c>
      <c r="U95" s="289">
        <f>T95/Assumptions!$C$12</f>
        <v>10</v>
      </c>
      <c r="V95" s="275"/>
      <c r="W95" s="289">
        <f>IF(Assumptions!$D$89=1,T95*(1+Assumptions!$B$95),T95)</f>
        <v>750</v>
      </c>
      <c r="X95" s="289">
        <f>W95/Assumptions!$C$12</f>
        <v>10</v>
      </c>
      <c r="Y95" s="275"/>
      <c r="Z95" s="289">
        <f>IF(Assumptions!$D$89=1,W95*(1+Assumptions!$B$95),W95)</f>
        <v>750</v>
      </c>
      <c r="AA95" s="289">
        <f>Z95/Assumptions!$C$12</f>
        <v>10</v>
      </c>
      <c r="AB95" s="275"/>
      <c r="AC95" s="289">
        <f>IF(Assumptions!$D$89=1,Z95*(1+Assumptions!$B$95),Z95)</f>
        <v>750</v>
      </c>
      <c r="AD95" s="289">
        <f>AC95/Assumptions!$C$12</f>
        <v>10</v>
      </c>
      <c r="AE95" s="276"/>
      <c r="AF95" s="289">
        <f>IF(Assumptions!$D$89=1,AC95*(1+Assumptions!$B$95),AC95)</f>
        <v>750</v>
      </c>
      <c r="AG95" s="289">
        <f>AF95/Assumptions!$C$12</f>
        <v>10</v>
      </c>
      <c r="AH95" s="290"/>
    </row>
    <row r="96" spans="1:34" x14ac:dyDescent="0.35">
      <c r="A96" s="119" t="s">
        <v>119</v>
      </c>
      <c r="B96" s="289">
        <v>0</v>
      </c>
      <c r="C96" s="289">
        <v>0</v>
      </c>
      <c r="D96" s="290"/>
      <c r="E96" s="289">
        <f>('Loan Ammortization'!$F$7+'Line of Credit'!$E$8)*(Assumptions!$C$12/Assumptions!$C$8)</f>
        <v>50995.762730215167</v>
      </c>
      <c r="F96" s="289">
        <f>E96/Assumptions!$C$12</f>
        <v>679.94350306953561</v>
      </c>
      <c r="G96" s="290"/>
      <c r="H96" s="289">
        <f>('Loan Ammortization'!$F$8+'Line of Credit'!$E$9)*(Assumptions!$C$12/Assumptions!$C$8)</f>
        <v>49646.941992687374</v>
      </c>
      <c r="I96" s="289">
        <f>H96/Assumptions!$C$12</f>
        <v>661.95922656916503</v>
      </c>
      <c r="J96" s="290"/>
      <c r="K96" s="289">
        <f>('Loan Ammortization'!$F$9+'Line of Credit'!$E$10)*(Assumptions!$C$12/Assumptions!$C$8)</f>
        <v>48254.756602068825</v>
      </c>
      <c r="L96" s="289">
        <f>K96/Assumptions!$C$12</f>
        <v>643.39675469425094</v>
      </c>
      <c r="M96" s="275"/>
      <c r="N96" s="289">
        <f>('Loan Ammortization'!$F$10+'Line of Credit'!$E$11)*(Assumptions!$C$12/Assumptions!$C$8)</f>
        <v>46816.365803818764</v>
      </c>
      <c r="O96" s="289">
        <f>N96/Assumptions!$C$12</f>
        <v>624.21821071758347</v>
      </c>
      <c r="P96" s="275"/>
      <c r="Q96" s="289">
        <f>('Loan Ammortization'!$F$11+'Line of Credit'!$E$12)*(Assumptions!$C$12/Assumptions!$C$8)</f>
        <v>45331.714666183092</v>
      </c>
      <c r="R96" s="289">
        <f>Q96/Assumptions!$C$12</f>
        <v>604.42286221577456</v>
      </c>
      <c r="S96" s="275"/>
      <c r="T96" s="289">
        <f>('Loan Ammortization'!$F$12+'Line of Credit'!$E$13)*(Assumptions!$C$12/Assumptions!$C$8)</f>
        <v>43798.812366574231</v>
      </c>
      <c r="U96" s="289">
        <f>T96/Assumptions!$C$12</f>
        <v>583.98416488765645</v>
      </c>
      <c r="V96" s="275"/>
      <c r="W96" s="289">
        <f>('Loan Ammortization'!$F$13+'Line of Credit'!$E$14)*(Assumptions!$C$12/Assumptions!$C$8)</f>
        <v>42216.562763107024</v>
      </c>
      <c r="X96" s="289">
        <f>W96/Assumptions!$C$12</f>
        <v>562.88750350809369</v>
      </c>
      <c r="Y96" s="275"/>
      <c r="Z96" s="289">
        <f>('Loan Ammortization'!$F$14+'Line of Credit'!$E$15)*(Assumptions!$C$12/Assumptions!$C$8)</f>
        <v>40581.930665090717</v>
      </c>
      <c r="AA96" s="289">
        <f>Z96/Assumptions!$C$12</f>
        <v>541.0924088678762</v>
      </c>
      <c r="AB96" s="275"/>
      <c r="AC96" s="289">
        <f>('Loan Ammortization'!$F$15+'Line of Credit'!$E$16)*(Assumptions!$C$12/Assumptions!$C$8)</f>
        <v>38894.660385446368</v>
      </c>
      <c r="AD96" s="289">
        <f>AC96/Assumptions!$C$12</f>
        <v>518.59547180595155</v>
      </c>
      <c r="AE96" s="276"/>
      <c r="AF96" s="289">
        <f>('Loan Ammortization'!$F$16+'Line of Credit'!$E$17)*(Assumptions!$C$12/Assumptions!$C$8)</f>
        <v>37152.553821713576</v>
      </c>
      <c r="AG96" s="289">
        <f>AF96/Assumptions!$C$12</f>
        <v>495.36738428951435</v>
      </c>
      <c r="AH96" s="290"/>
    </row>
    <row r="97" spans="1:34" x14ac:dyDescent="0.35">
      <c r="A97" s="119" t="s">
        <v>255</v>
      </c>
      <c r="B97" s="289">
        <v>0</v>
      </c>
      <c r="C97" s="289">
        <v>0</v>
      </c>
      <c r="D97" s="290"/>
      <c r="E97" s="289">
        <f>Assumptions!$B$90*Assumptions!$C$10</f>
        <v>1200</v>
      </c>
      <c r="F97" s="289">
        <f>E97/Assumptions!$C$10</f>
        <v>15</v>
      </c>
      <c r="G97" s="290"/>
      <c r="H97" s="289">
        <f>IF(Assumptions!$D$90=1,E97*(1+Assumptions!$B$95),E97)</f>
        <v>1224</v>
      </c>
      <c r="I97" s="289">
        <f>H97/Assumptions!$C$10</f>
        <v>15.3</v>
      </c>
      <c r="J97" s="290"/>
      <c r="K97" s="289">
        <f>IF(Assumptions!$D$90=1,H97*(1+Assumptions!$B$95),H97)</f>
        <v>1248.48</v>
      </c>
      <c r="L97" s="289">
        <f>K97/Assumptions!$C$10</f>
        <v>15.606</v>
      </c>
      <c r="M97" s="275"/>
      <c r="N97" s="289">
        <f>IF(Assumptions!$D$90=1,K97*(1+Assumptions!$B$95),K97)</f>
        <v>1273.4496000000001</v>
      </c>
      <c r="O97" s="289">
        <f>N97/Assumptions!$C$10</f>
        <v>15.918120000000002</v>
      </c>
      <c r="P97" s="275"/>
      <c r="Q97" s="289">
        <f>IF(Assumptions!$D$90=1,N97*(1+Assumptions!$B$95),N97)</f>
        <v>1298.9185920000002</v>
      </c>
      <c r="R97" s="289">
        <f>Q97/Assumptions!$C$10</f>
        <v>16.236482400000003</v>
      </c>
      <c r="S97" s="275"/>
      <c r="T97" s="289">
        <f>IF(Assumptions!$D$90=1,Q97*(1+Assumptions!$B$95),Q97)</f>
        <v>1324.8969638400004</v>
      </c>
      <c r="U97" s="289">
        <f>T97/Assumptions!$C$10</f>
        <v>16.561212048000005</v>
      </c>
      <c r="V97" s="275"/>
      <c r="W97" s="289">
        <f>IF(Assumptions!$D$90=1,T97*(1+Assumptions!$B$95),T97)</f>
        <v>1351.3949031168004</v>
      </c>
      <c r="X97" s="289">
        <f>W97/Assumptions!$C$10</f>
        <v>16.892436288960006</v>
      </c>
      <c r="Y97" s="275"/>
      <c r="Z97" s="289">
        <f>IF(Assumptions!$D$90=1,W97*(1+Assumptions!$B$95),W97)</f>
        <v>1378.4228011791365</v>
      </c>
      <c r="AA97" s="289">
        <f>Z97/Assumptions!$C$10</f>
        <v>17.230285014739206</v>
      </c>
      <c r="AB97" s="275"/>
      <c r="AC97" s="289">
        <f>IF(Assumptions!$D$90=1,Z97*(1+Assumptions!$B$95),Z97)</f>
        <v>1405.9912572027192</v>
      </c>
      <c r="AD97" s="289">
        <f>AC97/Assumptions!$C$10</f>
        <v>17.574890715033991</v>
      </c>
      <c r="AE97" s="276"/>
      <c r="AF97" s="289">
        <f>IF(Assumptions!$D$90=1,AC97*(1+Assumptions!$B$95),AC97)</f>
        <v>1434.1110823467736</v>
      </c>
      <c r="AG97" s="289">
        <f>AF97/Assumptions!$C$10</f>
        <v>17.92638852933467</v>
      </c>
      <c r="AH97" s="290"/>
    </row>
    <row r="98" spans="1:34" x14ac:dyDescent="0.35">
      <c r="A98" s="119" t="s">
        <v>256</v>
      </c>
      <c r="B98" s="289">
        <v>0</v>
      </c>
      <c r="C98" s="289">
        <v>0</v>
      </c>
      <c r="D98" s="290"/>
      <c r="E98" s="289">
        <f>Assumptions!$B$91*Assumptions!$C$10</f>
        <v>1600</v>
      </c>
      <c r="F98" s="289">
        <f>E98/Assumptions!$C$10</f>
        <v>20</v>
      </c>
      <c r="G98" s="290"/>
      <c r="H98" s="289">
        <f>IF(Assumptions!$D$91=1,E98*(1+Assumptions!$B$95),E98)</f>
        <v>1632</v>
      </c>
      <c r="I98" s="289">
        <f>H98/Assumptions!$C$10</f>
        <v>20.399999999999999</v>
      </c>
      <c r="J98" s="290"/>
      <c r="K98" s="289">
        <f>IF(Assumptions!$D$91=1,H98*(1+Assumptions!$B$95),H98)</f>
        <v>1664.64</v>
      </c>
      <c r="L98" s="289">
        <f>K98/Assumptions!$C$10</f>
        <v>20.808</v>
      </c>
      <c r="M98" s="275"/>
      <c r="N98" s="289">
        <f>IF(Assumptions!$D$91=1,K98*(1+Assumptions!$B$95),K98)</f>
        <v>1697.9328</v>
      </c>
      <c r="O98" s="289">
        <f>N98/Assumptions!$C$10</f>
        <v>21.224160000000001</v>
      </c>
      <c r="P98" s="275"/>
      <c r="Q98" s="289">
        <f>IF(Assumptions!$D$91=1,N98*(1+Assumptions!$B$95),N98)</f>
        <v>1731.8914560000001</v>
      </c>
      <c r="R98" s="289">
        <f>Q98/Assumptions!$C$10</f>
        <v>21.648643200000002</v>
      </c>
      <c r="S98" s="275"/>
      <c r="T98" s="289">
        <f>IF(Assumptions!$D$91=1,Q98*(1+Assumptions!$B$95),Q98)</f>
        <v>1766.5292851200002</v>
      </c>
      <c r="U98" s="289">
        <f>T98/Assumptions!$C$10</f>
        <v>22.081616064000002</v>
      </c>
      <c r="V98" s="275"/>
      <c r="W98" s="289">
        <f>IF(Assumptions!$D$91=1,T98*(1+Assumptions!$B$95),T98)</f>
        <v>1801.8598708224001</v>
      </c>
      <c r="X98" s="289">
        <f>W98/Assumptions!$C$10</f>
        <v>22.523248385280002</v>
      </c>
      <c r="Y98" s="275"/>
      <c r="Z98" s="289">
        <f>IF(Assumptions!$D$91=1,W98*(1+Assumptions!$B$95),W98)</f>
        <v>1837.8970682388481</v>
      </c>
      <c r="AA98" s="289">
        <f>Z98/Assumptions!$C$10</f>
        <v>22.973713352985602</v>
      </c>
      <c r="AB98" s="275"/>
      <c r="AC98" s="289">
        <f>IF(Assumptions!$D$91=1,Z98*(1+Assumptions!$B$95),Z98)</f>
        <v>1874.6550096036251</v>
      </c>
      <c r="AD98" s="289">
        <f>AC98/Assumptions!$C$10</f>
        <v>23.433187620045313</v>
      </c>
      <c r="AE98" s="276"/>
      <c r="AF98" s="289">
        <f>IF(Assumptions!$D$91=1,AC98*(1+Assumptions!$B$95),AC98)</f>
        <v>1912.1481097956976</v>
      </c>
      <c r="AG98" s="289">
        <f>AF98/Assumptions!$C$10</f>
        <v>23.90185137244622</v>
      </c>
      <c r="AH98" s="290"/>
    </row>
    <row r="99" spans="1:34" x14ac:dyDescent="0.35">
      <c r="A99" s="119" t="s">
        <v>271</v>
      </c>
      <c r="B99" s="289">
        <v>0</v>
      </c>
      <c r="C99" s="289">
        <v>0</v>
      </c>
      <c r="D99" s="290"/>
      <c r="E99" s="289">
        <f>'Management Struture'!F22</f>
        <v>8000</v>
      </c>
      <c r="F99" s="289">
        <f>E99/Assumptions!$C$10</f>
        <v>100</v>
      </c>
      <c r="G99" s="290"/>
      <c r="H99" s="289">
        <f>'Management Struture'!F23</f>
        <v>8000</v>
      </c>
      <c r="I99" s="289">
        <f>H99/Assumptions!$C$10</f>
        <v>100</v>
      </c>
      <c r="J99" s="290"/>
      <c r="K99" s="289">
        <f>'Management Struture'!F24</f>
        <v>8000</v>
      </c>
      <c r="L99" s="289">
        <f>K99/Assumptions!$C$10</f>
        <v>100</v>
      </c>
      <c r="M99" s="275"/>
      <c r="N99" s="289">
        <f>'Management Struture'!F25</f>
        <v>32000</v>
      </c>
      <c r="O99" s="289">
        <f>N99/Assumptions!$C$10</f>
        <v>400</v>
      </c>
      <c r="P99" s="275"/>
      <c r="Q99" s="289">
        <f>'Management Struture'!F26</f>
        <v>32000</v>
      </c>
      <c r="R99" s="289">
        <f>Q99/Assumptions!$C$10</f>
        <v>400</v>
      </c>
      <c r="S99" s="275"/>
      <c r="T99" s="289">
        <f>'Management Struture'!F27</f>
        <v>32000</v>
      </c>
      <c r="U99" s="289">
        <f>T99/Assumptions!$C$10</f>
        <v>400</v>
      </c>
      <c r="V99" s="275"/>
      <c r="W99" s="289">
        <f>'Management Struture'!F28</f>
        <v>32000</v>
      </c>
      <c r="X99" s="289">
        <f>W99/Assumptions!$C$10</f>
        <v>400</v>
      </c>
      <c r="Y99" s="275"/>
      <c r="Z99" s="289">
        <f>'Management Struture'!F29</f>
        <v>32000</v>
      </c>
      <c r="AA99" s="289">
        <f>Z99/Assumptions!$C$10</f>
        <v>400</v>
      </c>
      <c r="AB99" s="275"/>
      <c r="AC99" s="289">
        <f>'Management Struture'!F30</f>
        <v>32000</v>
      </c>
      <c r="AD99" s="289">
        <f>AC99/Assumptions!$C$10</f>
        <v>400</v>
      </c>
      <c r="AE99" s="276"/>
      <c r="AF99" s="289">
        <f>'Management Struture'!F31</f>
        <v>32000</v>
      </c>
      <c r="AG99" s="289">
        <f>AF99/Assumptions!$C$10</f>
        <v>400</v>
      </c>
      <c r="AH99" s="290"/>
    </row>
    <row r="100" spans="1:34" x14ac:dyDescent="0.35">
      <c r="A100" s="119" t="s">
        <v>258</v>
      </c>
      <c r="B100" s="289">
        <v>0</v>
      </c>
      <c r="C100" s="289">
        <v>0</v>
      </c>
      <c r="D100" s="290"/>
      <c r="E100" s="289">
        <f>Assumptions!$B$92*Assumptions!$C$12</f>
        <v>750</v>
      </c>
      <c r="F100" s="289">
        <f>E100/Assumptions!$C$10</f>
        <v>9.375</v>
      </c>
      <c r="G100" s="290"/>
      <c r="H100" s="289">
        <f>IF(Assumptions!$D$92=1,E100*(1+Assumptions!$B$95),E100)</f>
        <v>750</v>
      </c>
      <c r="I100" s="289">
        <f>H100/Assumptions!$C$12</f>
        <v>10</v>
      </c>
      <c r="J100" s="290"/>
      <c r="K100" s="289">
        <f>IF(Assumptions!$D$92=1,H100*(1+Assumptions!$B$95),H100)</f>
        <v>750</v>
      </c>
      <c r="L100" s="289">
        <f>K100/Assumptions!$C$12</f>
        <v>10</v>
      </c>
      <c r="M100" s="275"/>
      <c r="N100" s="289">
        <f>IF(Assumptions!$D$92=1,K100*(1+Assumptions!$B$95),K100)</f>
        <v>750</v>
      </c>
      <c r="O100" s="289">
        <f>N100/Assumptions!$C$12</f>
        <v>10</v>
      </c>
      <c r="P100" s="275"/>
      <c r="Q100" s="289">
        <f>IF(Assumptions!$D$92=1,N100*(1+Assumptions!$B$95),N100)</f>
        <v>750</v>
      </c>
      <c r="R100" s="289">
        <f>Q100/Assumptions!$C$12</f>
        <v>10</v>
      </c>
      <c r="S100" s="275"/>
      <c r="T100" s="289">
        <f>IF(Assumptions!$D$92=1,Q100*(1+Assumptions!$B$95),Q100)</f>
        <v>750</v>
      </c>
      <c r="U100" s="289">
        <f>T100/Assumptions!$C$12</f>
        <v>10</v>
      </c>
      <c r="V100" s="275"/>
      <c r="W100" s="289">
        <f>IF(Assumptions!$D$92=1,T100*(1+Assumptions!$B$95),T100)</f>
        <v>750</v>
      </c>
      <c r="X100" s="289">
        <f>W100/Assumptions!$C$12</f>
        <v>10</v>
      </c>
      <c r="Y100" s="275"/>
      <c r="Z100" s="289">
        <f>IF(Assumptions!$D$92=1,W100*(1+Assumptions!$B$95),W100)</f>
        <v>750</v>
      </c>
      <c r="AA100" s="289">
        <f>Z100/Assumptions!$C$12</f>
        <v>10</v>
      </c>
      <c r="AB100" s="275"/>
      <c r="AC100" s="289">
        <f>IF(Assumptions!$D$92=1,Z100*(1+Assumptions!$B$95),Z100)</f>
        <v>750</v>
      </c>
      <c r="AD100" s="289">
        <f>AC100/Assumptions!$C$12</f>
        <v>10</v>
      </c>
      <c r="AE100" s="276"/>
      <c r="AF100" s="289">
        <f>IF(Assumptions!$D$92=1,AC100*(1+Assumptions!$B$95),AC100)</f>
        <v>750</v>
      </c>
      <c r="AG100" s="289">
        <f>AF100/Assumptions!$C$12</f>
        <v>10</v>
      </c>
      <c r="AH100" s="290"/>
    </row>
    <row r="101" spans="1:34" x14ac:dyDescent="0.35">
      <c r="A101" s="119" t="s">
        <v>257</v>
      </c>
      <c r="B101" s="289">
        <v>0</v>
      </c>
      <c r="C101" s="289">
        <v>0</v>
      </c>
      <c r="D101" s="290"/>
      <c r="E101" s="289">
        <f>Assumptions!$B$93*Assumptions!$C$10</f>
        <v>8000</v>
      </c>
      <c r="F101" s="289">
        <f>E101/Assumptions!$C$10</f>
        <v>100</v>
      </c>
      <c r="G101" s="290"/>
      <c r="H101" s="289">
        <f>IF(Assumptions!$D$93=1,E101*(1+Assumptions!$B$95),E101)</f>
        <v>8160</v>
      </c>
      <c r="I101" s="289">
        <f>H101/Assumptions!$C$10</f>
        <v>102</v>
      </c>
      <c r="J101" s="290"/>
      <c r="K101" s="289">
        <f>IF(Assumptions!$D$93=1,H101*(1+Assumptions!$B$95),H101)</f>
        <v>8323.2000000000007</v>
      </c>
      <c r="L101" s="289">
        <f>K101/Assumptions!$C$10</f>
        <v>104.04</v>
      </c>
      <c r="M101" s="275"/>
      <c r="N101" s="289">
        <f>IF(Assumptions!$D$93=1,K101*(1+Assumptions!$B$95),K101)</f>
        <v>8489.6640000000007</v>
      </c>
      <c r="O101" s="289">
        <f>N101/Assumptions!$C$10</f>
        <v>106.1208</v>
      </c>
      <c r="P101" s="275"/>
      <c r="Q101" s="289">
        <f>IF(Assumptions!$D$93=1,N101*(1+Assumptions!$B$95),N101)</f>
        <v>8659.4572800000005</v>
      </c>
      <c r="R101" s="289">
        <f>Q101/Assumptions!$C$10</f>
        <v>108.243216</v>
      </c>
      <c r="S101" s="275"/>
      <c r="T101" s="289">
        <f>IF(Assumptions!$D$93=1,Q101*(1+Assumptions!$B$95),Q101)</f>
        <v>8832.6464255999999</v>
      </c>
      <c r="U101" s="289">
        <f>T101/Assumptions!$C$10</f>
        <v>110.40808032</v>
      </c>
      <c r="V101" s="275"/>
      <c r="W101" s="289">
        <f>IF(Assumptions!$D$93=1,T101*(1+Assumptions!$B$95),T101)</f>
        <v>9009.2993541119995</v>
      </c>
      <c r="X101" s="289">
        <f>W101/Assumptions!$C$10</f>
        <v>112.61624192639999</v>
      </c>
      <c r="Y101" s="275"/>
      <c r="Z101" s="289">
        <f>IF(Assumptions!$D$93=1,W101*(1+Assumptions!$B$95),W101)</f>
        <v>9189.4853411942404</v>
      </c>
      <c r="AA101" s="289">
        <f>Z101/Assumptions!$C$10</f>
        <v>114.868566764928</v>
      </c>
      <c r="AB101" s="275"/>
      <c r="AC101" s="289">
        <f>IF(Assumptions!$D$93=1,Z101*(1+Assumptions!$B$95),Z101)</f>
        <v>9373.2750480181257</v>
      </c>
      <c r="AD101" s="289">
        <f>AC101/Assumptions!$C$10</f>
        <v>117.16593810022657</v>
      </c>
      <c r="AE101" s="276"/>
      <c r="AF101" s="289">
        <f>IF(Assumptions!$D$93=1,AC101*(1+Assumptions!$B$95),AC101)</f>
        <v>9560.7405489784887</v>
      </c>
      <c r="AG101" s="289">
        <f>AF101/Assumptions!$C$10</f>
        <v>119.50925686223111</v>
      </c>
      <c r="AH101" s="290"/>
    </row>
    <row r="102" spans="1:34" x14ac:dyDescent="0.35">
      <c r="A102" s="119" t="s">
        <v>259</v>
      </c>
      <c r="B102" s="289">
        <v>0</v>
      </c>
      <c r="C102" s="289">
        <v>0</v>
      </c>
      <c r="D102" s="290"/>
      <c r="E102" s="289">
        <f>Assumptions!$B$94*Assumptions!$C$28*(Assumptions!$C$12/Assumptions!$C$8)</f>
        <v>13354.759299781181</v>
      </c>
      <c r="F102" s="289">
        <f>E102/Assumptions!$C$12</f>
        <v>178.06345733041573</v>
      </c>
      <c r="G102" s="290"/>
      <c r="H102" s="289">
        <f>IF(Assumptions!$D$94=1,E102*(1+Assumptions!$B$95),E102)</f>
        <v>13354.759299781181</v>
      </c>
      <c r="I102" s="289">
        <f>H102/Assumptions!$C$12</f>
        <v>178.06345733041573</v>
      </c>
      <c r="J102" s="290"/>
      <c r="K102" s="289">
        <f>IF(Assumptions!$D$94=1,H102*(1+Assumptions!$B$95),H102)</f>
        <v>13354.759299781181</v>
      </c>
      <c r="L102" s="289">
        <f>K102/Assumptions!$C$12</f>
        <v>178.06345733041573</v>
      </c>
      <c r="M102" s="275"/>
      <c r="N102" s="289">
        <f>IF(Assumptions!$D$94=1,K102*(1+Assumptions!$B$95),K102)</f>
        <v>13354.759299781181</v>
      </c>
      <c r="O102" s="289">
        <f>N102/Assumptions!$C$12</f>
        <v>178.06345733041573</v>
      </c>
      <c r="P102" s="275"/>
      <c r="Q102" s="289">
        <f>IF(Assumptions!$D$94=1,N102*(1+Assumptions!$B$95),N102)</f>
        <v>13354.759299781181</v>
      </c>
      <c r="R102" s="289">
        <f>Q102/Assumptions!$C$12</f>
        <v>178.06345733041573</v>
      </c>
      <c r="S102" s="275"/>
      <c r="T102" s="289">
        <f>IF(Assumptions!$D$94=1,Q102*(1+Assumptions!$B$95),Q102)</f>
        <v>13354.759299781181</v>
      </c>
      <c r="U102" s="289">
        <f>T102/Assumptions!$C$12</f>
        <v>178.06345733041573</v>
      </c>
      <c r="V102" s="275"/>
      <c r="W102" s="289">
        <f>IF(Assumptions!$D$94=1,T102*(1+Assumptions!$B$95),T102)</f>
        <v>13354.759299781181</v>
      </c>
      <c r="X102" s="289">
        <f>W102/Assumptions!$C$12</f>
        <v>178.06345733041573</v>
      </c>
      <c r="Y102" s="275"/>
      <c r="Z102" s="289">
        <f>IF(Assumptions!$D$94=1,W102*(1+Assumptions!$B$95),W102)</f>
        <v>13354.759299781181</v>
      </c>
      <c r="AA102" s="289">
        <f>Z102/Assumptions!$C$12</f>
        <v>178.06345733041573</v>
      </c>
      <c r="AB102" s="275"/>
      <c r="AC102" s="289">
        <f>IF(Assumptions!$D$94=1,Z102*(1+Assumptions!$B$95),Z102)</f>
        <v>13354.759299781181</v>
      </c>
      <c r="AD102" s="289">
        <f>AC102/Assumptions!$C$12</f>
        <v>178.06345733041573</v>
      </c>
      <c r="AE102" s="276"/>
      <c r="AF102" s="289">
        <f>IF(Assumptions!$D$94=1,AC102*(1+Assumptions!$B$95),AC102)</f>
        <v>13354.759299781181</v>
      </c>
      <c r="AG102" s="289">
        <f>AF102/Assumptions!$C$12</f>
        <v>178.06345733041573</v>
      </c>
      <c r="AH102" s="290"/>
    </row>
    <row r="103" spans="1:34" x14ac:dyDescent="0.35">
      <c r="A103" s="121" t="s">
        <v>108</v>
      </c>
      <c r="B103" s="292">
        <f>SUM(B89:B102)</f>
        <v>0</v>
      </c>
      <c r="C103" s="292">
        <f>SUM(C89:C102)</f>
        <v>0</v>
      </c>
      <c r="D103" s="290"/>
      <c r="E103" s="292">
        <f>SUM(E89:E102)</f>
        <v>418100.52202999633</v>
      </c>
      <c r="F103" s="292">
        <f>SUM(F89:F102)</f>
        <v>5550.3819603999518</v>
      </c>
      <c r="G103" s="290"/>
      <c r="H103" s="292">
        <f>SUM(H89:H102)</f>
        <v>421043.20129246853</v>
      </c>
      <c r="I103" s="292">
        <f>SUM(I89:I102)</f>
        <v>5589.9826838995814</v>
      </c>
      <c r="J103" s="290"/>
      <c r="K103" s="292">
        <f>SUM(K89:K102)</f>
        <v>424028.34590185003</v>
      </c>
      <c r="L103" s="292">
        <f>SUM(L89:L102)</f>
        <v>5629.519412024667</v>
      </c>
      <c r="M103" s="275"/>
      <c r="N103" s="292">
        <f>SUM(N89:N102)</f>
        <v>451054.83170359995</v>
      </c>
      <c r="O103" s="292">
        <f>SUM(O89:O102)</f>
        <v>5969.6020520479988</v>
      </c>
      <c r="P103" s="275"/>
      <c r="Q103" s="292">
        <f>SUM(Q89:Q102)</f>
        <v>454124.35469796427</v>
      </c>
      <c r="R103" s="292">
        <f>SUM(R89:R102)</f>
        <v>6010.2531112261904</v>
      </c>
      <c r="S103" s="275"/>
      <c r="T103" s="292">
        <f>SUM(T89:T102)</f>
        <v>457236.71001299546</v>
      </c>
      <c r="U103" s="292">
        <f>SUM(U89:U102)</f>
        <v>6051.4697497316729</v>
      </c>
      <c r="V103" s="275"/>
      <c r="W103" s="292">
        <f>SUM(W89:W102)</f>
        <v>460392.62317646103</v>
      </c>
      <c r="X103" s="292">
        <f>SUM(X89:X102)</f>
        <v>6093.2615309023822</v>
      </c>
      <c r="Y103" s="275"/>
      <c r="Z103" s="292">
        <f>SUM(Z89:Z102)</f>
        <v>463590.91710071621</v>
      </c>
      <c r="AA103" s="292">
        <f>SUM(AA89:AA102)</f>
        <v>6135.6126476634417</v>
      </c>
      <c r="AB103" s="275"/>
      <c r="AC103" s="292">
        <f>SUM(AC89:AC102)</f>
        <v>466833.23136378871</v>
      </c>
      <c r="AD103" s="292">
        <f>SUM(AD89:AD102)</f>
        <v>6178.5448462308195</v>
      </c>
      <c r="AE103" s="276"/>
      <c r="AF103" s="292">
        <f>SUM(AF89:AF102)</f>
        <v>470119.30103362713</v>
      </c>
      <c r="AG103" s="292">
        <f>SUM(AG89:AG102)</f>
        <v>6222.0544770562719</v>
      </c>
      <c r="AH103" s="290"/>
    </row>
    <row r="104" spans="1:34" x14ac:dyDescent="0.35">
      <c r="A104" s="115"/>
      <c r="B104" s="295"/>
      <c r="C104" s="295"/>
      <c r="D104" s="290"/>
      <c r="E104" s="295"/>
      <c r="F104" s="295"/>
      <c r="G104" s="290"/>
      <c r="H104" s="295"/>
      <c r="I104" s="295"/>
      <c r="J104" s="290"/>
      <c r="K104" s="295"/>
      <c r="L104" s="295"/>
      <c r="M104" s="275"/>
      <c r="N104" s="295"/>
      <c r="O104" s="295"/>
      <c r="P104" s="275"/>
      <c r="Q104" s="295"/>
      <c r="R104" s="295"/>
      <c r="S104" s="275"/>
      <c r="T104" s="295"/>
      <c r="U104" s="295"/>
      <c r="V104" s="275"/>
      <c r="W104" s="295"/>
      <c r="X104" s="295"/>
      <c r="Y104" s="275"/>
      <c r="Z104" s="295"/>
      <c r="AA104" s="295"/>
      <c r="AB104" s="275"/>
      <c r="AC104" s="295"/>
      <c r="AD104" s="295"/>
      <c r="AE104" s="276"/>
      <c r="AF104" s="295"/>
      <c r="AG104" s="295"/>
      <c r="AH104" s="290"/>
    </row>
    <row r="105" spans="1:34" ht="16" thickBot="1" x14ac:dyDescent="0.4">
      <c r="A105" s="74" t="s">
        <v>104</v>
      </c>
      <c r="B105" s="296">
        <f>B84-B103</f>
        <v>0</v>
      </c>
      <c r="C105" s="296">
        <f>C84-C103</f>
        <v>0</v>
      </c>
      <c r="D105" s="290"/>
      <c r="E105" s="296">
        <f>E84-E103</f>
        <v>-418100.52202999633</v>
      </c>
      <c r="F105" s="296">
        <f>F84-F103</f>
        <v>-5550.3819603999518</v>
      </c>
      <c r="G105" s="290"/>
      <c r="H105" s="296">
        <f>H84-H103</f>
        <v>741.79870753153227</v>
      </c>
      <c r="I105" s="296">
        <f>I84-I103</f>
        <v>33.817316100419703</v>
      </c>
      <c r="J105" s="290"/>
      <c r="K105" s="296">
        <f>K84-K103</f>
        <v>113847.95409815002</v>
      </c>
      <c r="L105" s="296">
        <f>L84-L103</f>
        <v>1542.1645879753332</v>
      </c>
      <c r="M105" s="275"/>
      <c r="N105" s="296">
        <f>N84-N103</f>
        <v>252114.99279640015</v>
      </c>
      <c r="O105" s="296">
        <f>O84-O103</f>
        <v>3405.9956079520025</v>
      </c>
      <c r="P105" s="275"/>
      <c r="Q105" s="296">
        <f>Q84-Q103</f>
        <v>270140.56453703588</v>
      </c>
      <c r="R105" s="296">
        <f>R84-R103</f>
        <v>3646.6124785738111</v>
      </c>
      <c r="S105" s="275"/>
      <c r="T105" s="296">
        <f>T84-T103</f>
        <v>288756.15679905476</v>
      </c>
      <c r="U105" s="296">
        <f>U84-U103</f>
        <v>3895.1018077623294</v>
      </c>
      <c r="V105" s="275"/>
      <c r="W105" s="296">
        <f>W84-W103</f>
        <v>307980.02963995078</v>
      </c>
      <c r="X105" s="296">
        <f>X84-X103</f>
        <v>4151.7071733164412</v>
      </c>
      <c r="Y105" s="275"/>
      <c r="Z105" s="296">
        <f>Z84-Z103</f>
        <v>327832.91530018783</v>
      </c>
      <c r="AA105" s="296">
        <f>AA84-AA103</f>
        <v>4416.7051176819459</v>
      </c>
      <c r="AB105" s="275"/>
      <c r="AC105" s="296">
        <f>AC84-AC103</f>
        <v>348333.31600914255</v>
      </c>
      <c r="AD105" s="296">
        <f>AD84-AD103</f>
        <v>4690.3424520749304</v>
      </c>
      <c r="AE105" s="276"/>
      <c r="AF105" s="296">
        <f>AF84-AF103</f>
        <v>1209123.7865546108</v>
      </c>
      <c r="AG105" s="296">
        <f>AG84-AG103</f>
        <v>16167.85335745357</v>
      </c>
      <c r="AH105" s="290"/>
    </row>
    <row r="106" spans="1:34" ht="16" thickTop="1" x14ac:dyDescent="0.35">
      <c r="I106" s="206"/>
      <c r="L106" s="206"/>
      <c r="O106" s="206"/>
      <c r="R106" s="206"/>
      <c r="U106" s="206"/>
      <c r="X106" s="206"/>
      <c r="AA106" s="206"/>
      <c r="AD106" s="206"/>
      <c r="AF106" s="77"/>
      <c r="AG106" s="206"/>
      <c r="AH106" s="181"/>
    </row>
    <row r="107" spans="1:34" x14ac:dyDescent="0.35">
      <c r="K107" s="192"/>
      <c r="L107" s="192"/>
      <c r="AF107" s="77"/>
      <c r="AG107" s="77"/>
      <c r="AH107" s="181"/>
    </row>
    <row r="108" spans="1:34" x14ac:dyDescent="0.35">
      <c r="B108" s="369">
        <f>B79</f>
        <v>2021</v>
      </c>
      <c r="C108" s="369"/>
      <c r="D108" s="175"/>
      <c r="E108" s="369">
        <f>E79</f>
        <v>2022</v>
      </c>
      <c r="F108" s="369"/>
      <c r="G108" s="176"/>
      <c r="H108" s="369">
        <f>H79</f>
        <v>2023</v>
      </c>
      <c r="I108" s="369"/>
      <c r="J108" s="176"/>
      <c r="K108" s="369">
        <f>K79</f>
        <v>2024</v>
      </c>
      <c r="L108" s="369"/>
      <c r="N108" s="369">
        <f>N79</f>
        <v>2025</v>
      </c>
      <c r="O108" s="369"/>
      <c r="P108" s="175"/>
      <c r="Q108" s="369">
        <f>Q79</f>
        <v>2026</v>
      </c>
      <c r="R108" s="369"/>
      <c r="S108" s="175"/>
      <c r="T108" s="369">
        <f>T79</f>
        <v>2027</v>
      </c>
      <c r="U108" s="369"/>
      <c r="V108" s="175"/>
      <c r="W108" s="369">
        <f>W79</f>
        <v>2028</v>
      </c>
      <c r="X108" s="369"/>
      <c r="Y108" s="175"/>
      <c r="Z108" s="369">
        <f>Z79</f>
        <v>2029</v>
      </c>
      <c r="AA108" s="369"/>
      <c r="AB108" s="175"/>
      <c r="AC108" s="369">
        <f>AC79</f>
        <v>2030</v>
      </c>
      <c r="AD108" s="369"/>
      <c r="AE108" s="175"/>
      <c r="AF108" s="369">
        <f>AF79</f>
        <v>2031</v>
      </c>
      <c r="AG108" s="369"/>
      <c r="AH108" s="181"/>
    </row>
    <row r="109" spans="1:34" x14ac:dyDescent="0.35">
      <c r="B109" s="370">
        <f>B80</f>
        <v>0</v>
      </c>
      <c r="C109" s="370"/>
      <c r="D109" s="176"/>
      <c r="E109" s="370">
        <f>E80</f>
        <v>1</v>
      </c>
      <c r="F109" s="370"/>
      <c r="G109" s="176"/>
      <c r="H109" s="370">
        <f>H80</f>
        <v>2</v>
      </c>
      <c r="I109" s="370"/>
      <c r="J109" s="176"/>
      <c r="K109" s="370">
        <f>K80</f>
        <v>3</v>
      </c>
      <c r="L109" s="370"/>
      <c r="N109" s="370">
        <f>N80</f>
        <v>4</v>
      </c>
      <c r="O109" s="370"/>
      <c r="P109" s="175"/>
      <c r="Q109" s="370">
        <f>Q80</f>
        <v>5</v>
      </c>
      <c r="R109" s="370"/>
      <c r="S109" s="175"/>
      <c r="T109" s="370">
        <f>T80</f>
        <v>6</v>
      </c>
      <c r="U109" s="370"/>
      <c r="V109" s="175"/>
      <c r="W109" s="370">
        <f>W80</f>
        <v>7</v>
      </c>
      <c r="X109" s="370"/>
      <c r="Y109" s="175"/>
      <c r="Z109" s="370">
        <f>Z80</f>
        <v>8</v>
      </c>
      <c r="AA109" s="370"/>
      <c r="AB109" s="175"/>
      <c r="AC109" s="370">
        <f>AC80</f>
        <v>9</v>
      </c>
      <c r="AD109" s="370"/>
      <c r="AE109" s="175"/>
      <c r="AF109" s="370">
        <f>AF80</f>
        <v>10</v>
      </c>
      <c r="AG109" s="370"/>
      <c r="AH109" s="181"/>
    </row>
    <row r="110" spans="1:34" s="248" customFormat="1" x14ac:dyDescent="0.35">
      <c r="A110" s="129" t="s">
        <v>226</v>
      </c>
      <c r="B110" s="208"/>
      <c r="C110" s="315"/>
      <c r="D110" s="247"/>
      <c r="E110" s="298">
        <f>E53-E70+E61+E63+E84-E103+E94+E96</f>
        <v>-1919996</v>
      </c>
      <c r="F110" s="298">
        <f>IFERROR(ROUND(E110/(Assumptions!$C$7-Assumptions!$C$21),0),0)</f>
        <v>-5175</v>
      </c>
      <c r="G110" s="299"/>
      <c r="H110" s="298">
        <f>H53-H70+H61+H63+H84-H103+H94+H96</f>
        <v>1045851.8800000002</v>
      </c>
      <c r="I110" s="298">
        <f>IFERROR(ROUND(H110/(Assumptions!$C$7-Assumptions!$C$21),0),0)</f>
        <v>2819</v>
      </c>
      <c r="J110" s="299"/>
      <c r="K110" s="298">
        <f>K53-K70+K61+K63+K84-K103+K94+K96</f>
        <v>1204172.3176000002</v>
      </c>
      <c r="L110" s="298">
        <f>IFERROR(ROUND(K110/(Assumptions!$C$7-Assumptions!$C$21),0),0)</f>
        <v>3246</v>
      </c>
      <c r="M110" s="300"/>
      <c r="N110" s="298">
        <f>N53-N70+N61+N63+N84-N103+N94+N96</f>
        <v>1267213.1124519999</v>
      </c>
      <c r="O110" s="298">
        <f>IFERROR(ROUND(N110/(Assumptions!$C$7-Assumptions!$C$21),0),0)</f>
        <v>3416</v>
      </c>
      <c r="P110" s="299"/>
      <c r="Q110" s="298">
        <f>Q53-Q70+Q61+Q63+Q84-Q103+Q94+Q96</f>
        <v>1333829.1794460397</v>
      </c>
      <c r="R110" s="298">
        <f>IFERROR(ROUND(Q110/(Assumptions!$C$7-Assumptions!$C$21),0),0)</f>
        <v>3595</v>
      </c>
      <c r="S110" s="299"/>
      <c r="T110" s="298">
        <f>T53-T70+T61+T63+T84-T103+T94+T96</f>
        <v>1410009.1779223112</v>
      </c>
      <c r="U110" s="298">
        <f>IFERROR(ROUND(T110/(Assumptions!$C$7-Assumptions!$C$21),0),0)</f>
        <v>3801</v>
      </c>
      <c r="V110" s="299"/>
      <c r="W110" s="298">
        <f>W53-W70+W61+W63+W84-W103+W94+W96</f>
        <v>2053956.5697177295</v>
      </c>
      <c r="X110" s="298">
        <f>IFERROR(ROUND(W110/(Assumptions!$C$7-Assumptions!$C$21),0),0)</f>
        <v>5536</v>
      </c>
      <c r="Y110" s="299"/>
      <c r="Z110" s="298">
        <f>Z53-Z70+Z61+Z63+Z84-Z103+Z94+Z96</f>
        <v>1203251.961463867</v>
      </c>
      <c r="AA110" s="298">
        <f>IFERROR(ROUND(Z110/(Assumptions!$C$7-Assumptions!$C$21),0),0)</f>
        <v>3243</v>
      </c>
      <c r="AB110" s="299"/>
      <c r="AC110" s="298">
        <f>AC53-AC70+AC61+AC63+AC84-AC103+AC94+AC96</f>
        <v>1262254.0480013317</v>
      </c>
      <c r="AD110" s="298">
        <f>IFERROR(ROUND(AC110/(Assumptions!$C$7-Assumptions!$C$21),0),0)</f>
        <v>3402</v>
      </c>
      <c r="AE110" s="299"/>
      <c r="AF110" s="298">
        <f>AF53-AF70+AF61+AF63+AF84-AF103+AF94+AF96</f>
        <v>4505658.5750483181</v>
      </c>
      <c r="AG110" s="298">
        <f>IFERROR(ROUND(AF110/(Assumptions!$C$7-Assumptions!$C$21),0),0)</f>
        <v>12145</v>
      </c>
      <c r="AH110" s="299"/>
    </row>
    <row r="111" spans="1:34" x14ac:dyDescent="0.35">
      <c r="A111" s="75" t="s">
        <v>290</v>
      </c>
      <c r="B111" s="207"/>
      <c r="E111" s="301"/>
      <c r="F111" s="301"/>
      <c r="G111" s="272"/>
      <c r="H111" s="301"/>
      <c r="I111" s="301"/>
      <c r="J111" s="272"/>
      <c r="K111" s="302"/>
      <c r="L111" s="301"/>
      <c r="M111" s="273"/>
      <c r="N111" s="302"/>
      <c r="O111" s="301"/>
      <c r="P111" s="272"/>
      <c r="Q111" s="302"/>
      <c r="R111" s="301"/>
      <c r="S111" s="272"/>
      <c r="T111" s="302"/>
      <c r="U111" s="301"/>
      <c r="V111" s="272"/>
      <c r="W111" s="302"/>
      <c r="X111" s="301"/>
      <c r="Y111" s="272"/>
      <c r="Z111" s="302"/>
      <c r="AA111" s="301"/>
      <c r="AB111" s="272"/>
      <c r="AC111" s="302"/>
      <c r="AD111" s="301"/>
      <c r="AE111" s="272"/>
      <c r="AF111" s="303">
        <v>0</v>
      </c>
      <c r="AG111" s="301"/>
      <c r="AH111" s="272"/>
    </row>
    <row r="112" spans="1:34" x14ac:dyDescent="0.35">
      <c r="B112" s="207"/>
      <c r="E112" s="301"/>
      <c r="F112" s="301"/>
      <c r="G112" s="272"/>
      <c r="H112" s="301"/>
      <c r="I112" s="301"/>
      <c r="J112" s="272"/>
      <c r="K112" s="302"/>
      <c r="L112" s="301"/>
      <c r="M112" s="273"/>
      <c r="N112" s="302"/>
      <c r="O112" s="301"/>
      <c r="P112" s="272"/>
      <c r="Q112" s="302"/>
      <c r="R112" s="301"/>
      <c r="S112" s="272"/>
      <c r="T112" s="302"/>
      <c r="U112" s="301"/>
      <c r="V112" s="272"/>
      <c r="W112" s="302"/>
      <c r="X112" s="301"/>
      <c r="Y112" s="272"/>
      <c r="Z112" s="302"/>
      <c r="AA112" s="301"/>
      <c r="AB112" s="272"/>
      <c r="AC112" s="302"/>
      <c r="AD112" s="301"/>
      <c r="AE112" s="272"/>
      <c r="AF112" s="302"/>
      <c r="AG112" s="301"/>
      <c r="AH112" s="272"/>
    </row>
    <row r="113" spans="1:34" x14ac:dyDescent="0.35">
      <c r="A113" s="75" t="s">
        <v>227</v>
      </c>
      <c r="B113" s="207"/>
      <c r="E113" s="301"/>
      <c r="F113" s="301"/>
      <c r="G113" s="272"/>
      <c r="H113" s="301"/>
      <c r="I113" s="301"/>
      <c r="J113" s="272"/>
      <c r="K113" s="302"/>
      <c r="L113" s="301"/>
      <c r="M113" s="273"/>
      <c r="N113" s="302"/>
      <c r="O113" s="301"/>
      <c r="P113" s="272"/>
      <c r="Q113" s="302"/>
      <c r="R113" s="301"/>
      <c r="S113" s="272"/>
      <c r="T113" s="302"/>
      <c r="U113" s="301"/>
      <c r="V113" s="272"/>
      <c r="W113" s="302"/>
      <c r="X113" s="301"/>
      <c r="Y113" s="272"/>
      <c r="Z113" s="302"/>
      <c r="AA113" s="301"/>
      <c r="AB113" s="272"/>
      <c r="AC113" s="302"/>
      <c r="AD113" s="301"/>
      <c r="AE113" s="272"/>
      <c r="AF113" s="302"/>
      <c r="AG113" s="301"/>
      <c r="AH113" s="272"/>
    </row>
    <row r="114" spans="1:34" x14ac:dyDescent="0.35">
      <c r="A114" s="191" t="s">
        <v>228</v>
      </c>
      <c r="B114" s="208"/>
      <c r="C114" s="315"/>
      <c r="E114" s="304">
        <f>B20</f>
        <v>0</v>
      </c>
      <c r="F114" s="304">
        <f>IFERROR(ROUND(E114/(Assumptions!$C$7-Assumptions!$C$21),0),0)</f>
        <v>0</v>
      </c>
      <c r="G114" s="272"/>
      <c r="H114" s="304">
        <f>E20</f>
        <v>252886.5957129056</v>
      </c>
      <c r="I114" s="304">
        <f>IFERROR(ROUND(H114/(Assumptions!$C$7-Assumptions!$C$21),0),0)</f>
        <v>682</v>
      </c>
      <c r="J114" s="272"/>
      <c r="K114" s="304">
        <f>H20</f>
        <v>261105.41007357501</v>
      </c>
      <c r="L114" s="304">
        <f>IFERROR(ROUND(K114/(Assumptions!$C$7-Assumptions!$C$21),0),0)</f>
        <v>704</v>
      </c>
      <c r="M114" s="273"/>
      <c r="N114" s="304">
        <f>K20</f>
        <v>269591.33590096619</v>
      </c>
      <c r="O114" s="304">
        <f>IFERROR(ROUND(N114/(Assumptions!$C$7-Assumptions!$C$21),0),0)</f>
        <v>727</v>
      </c>
      <c r="P114" s="272"/>
      <c r="Q114" s="304">
        <f>N20</f>
        <v>278353.05431774765</v>
      </c>
      <c r="R114" s="304">
        <f>IFERROR(ROUND(Q114/(Assumptions!$C$7-Assumptions!$C$21),0),0)</f>
        <v>750</v>
      </c>
      <c r="S114" s="272"/>
      <c r="T114" s="304">
        <f>Q20</f>
        <v>287399.5285830744</v>
      </c>
      <c r="U114" s="304">
        <f>IFERROR(ROUND(T114/(Assumptions!$C$7-Assumptions!$C$21),0),0)</f>
        <v>775</v>
      </c>
      <c r="V114" s="272"/>
      <c r="W114" s="304">
        <f>T20</f>
        <v>296740.01326202438</v>
      </c>
      <c r="X114" s="304">
        <f>IFERROR(ROUND(W114/(Assumptions!$C$7-Assumptions!$C$21),0),0)</f>
        <v>800</v>
      </c>
      <c r="Y114" s="272"/>
      <c r="Z114" s="304">
        <f>W20</f>
        <v>306384.06369304011</v>
      </c>
      <c r="AA114" s="304">
        <f>IFERROR(ROUND(Z114/(Assumptions!$C$7-Assumptions!$C$21),0),0)</f>
        <v>826</v>
      </c>
      <c r="AB114" s="272"/>
      <c r="AC114" s="304">
        <f>Z20</f>
        <v>316341.54576306388</v>
      </c>
      <c r="AD114" s="304">
        <f>IFERROR(ROUND(AC114/(Assumptions!$C$7-Assumptions!$C$21),0),0)</f>
        <v>853</v>
      </c>
      <c r="AE114" s="272"/>
      <c r="AF114" s="304">
        <f>AC20</f>
        <v>326622.64600036351</v>
      </c>
      <c r="AG114" s="304">
        <f>IFERROR(ROUND(AF114/(Assumptions!$C$7-Assumptions!$C$21),0),0)</f>
        <v>880</v>
      </c>
      <c r="AH114" s="272"/>
    </row>
    <row r="115" spans="1:34" x14ac:dyDescent="0.35">
      <c r="A115" s="191" t="s">
        <v>119</v>
      </c>
      <c r="B115" s="208"/>
      <c r="C115" s="315"/>
      <c r="E115" s="305">
        <f>E63+E96</f>
        <v>310734.18090277776</v>
      </c>
      <c r="F115" s="304">
        <f>IFERROR(ROUND(E115/(Assumptions!$C$7-Assumptions!$C$21),0),0)</f>
        <v>838</v>
      </c>
      <c r="G115" s="272"/>
      <c r="H115" s="305">
        <f>H63+H96</f>
        <v>302515.36654210842</v>
      </c>
      <c r="I115" s="304">
        <f>IFERROR(ROUND(H115/(Assumptions!$C$7-Assumptions!$C$21),0),0)</f>
        <v>815</v>
      </c>
      <c r="J115" s="272"/>
      <c r="K115" s="305">
        <f>K63+K96</f>
        <v>294032.3168952727</v>
      </c>
      <c r="L115" s="304">
        <f>IFERROR(ROUND(K115/(Assumptions!$C$7-Assumptions!$C$21),0),0)</f>
        <v>793</v>
      </c>
      <c r="M115" s="273"/>
      <c r="N115" s="305">
        <f>N63+N96</f>
        <v>285267.72229793569</v>
      </c>
      <c r="O115" s="304">
        <f>IFERROR(ROUND(N115/(Assumptions!$C$7-Assumptions!$C$21),0),0)</f>
        <v>769</v>
      </c>
      <c r="P115" s="272"/>
      <c r="Q115" s="305">
        <f>Q63+Q96</f>
        <v>276221.248032609</v>
      </c>
      <c r="R115" s="304">
        <f>IFERROR(ROUND(Q115/(Assumptions!$C$7-Assumptions!$C$21),0),0)</f>
        <v>745</v>
      </c>
      <c r="S115" s="272"/>
      <c r="T115" s="305">
        <f>T63+T96</f>
        <v>266880.76335365901</v>
      </c>
      <c r="U115" s="304">
        <f>IFERROR(ROUND(T115/(Assumptions!$C$7-Assumptions!$C$21),0),0)</f>
        <v>719</v>
      </c>
      <c r="V115" s="272"/>
      <c r="W115" s="305">
        <f>W63+W96</f>
        <v>257239.58910319884</v>
      </c>
      <c r="X115" s="304">
        <f>IFERROR(ROUND(W115/(Assumptions!$C$7-Assumptions!$C$21),0),0)</f>
        <v>693</v>
      </c>
      <c r="Y115" s="272"/>
      <c r="Z115" s="305">
        <f>Z63+Z96</f>
        <v>247279.23085261945</v>
      </c>
      <c r="AA115" s="304">
        <f>IFERROR(ROUND(Z115/(Assumptions!$C$7-Assumptions!$C$21),0),0)</f>
        <v>667</v>
      </c>
      <c r="AB115" s="272"/>
      <c r="AC115" s="305">
        <f>AC63+AC96</f>
        <v>236998.13061531988</v>
      </c>
      <c r="AD115" s="304">
        <f>IFERROR(ROUND(AC115/(Assumptions!$C$7-Assumptions!$C$21),0),0)</f>
        <v>639</v>
      </c>
      <c r="AE115" s="272"/>
      <c r="AF115" s="305">
        <f>AF63+AF96</f>
        <v>226382.89462030807</v>
      </c>
      <c r="AG115" s="304">
        <f>IFERROR(ROUND(AF115/(Assumptions!$C$7-Assumptions!$C$21),0),0)</f>
        <v>610</v>
      </c>
      <c r="AH115" s="272"/>
    </row>
    <row r="116" spans="1:34" x14ac:dyDescent="0.35">
      <c r="A116" s="195" t="s">
        <v>236</v>
      </c>
      <c r="B116" s="208"/>
      <c r="C116" s="315"/>
      <c r="E116" s="304">
        <f>SUM(E114:E115)</f>
        <v>310734.18090277776</v>
      </c>
      <c r="F116" s="306">
        <f>SUM(F114:F115)</f>
        <v>838</v>
      </c>
      <c r="G116" s="272"/>
      <c r="H116" s="304">
        <f>SUM(H114:H115)</f>
        <v>555401.96225501399</v>
      </c>
      <c r="I116" s="306">
        <f>SUM(I114:I115)</f>
        <v>1497</v>
      </c>
      <c r="J116" s="272"/>
      <c r="K116" s="304">
        <f>SUM(K114:K115)</f>
        <v>555137.72696884768</v>
      </c>
      <c r="L116" s="306">
        <f>SUM(L114:L115)</f>
        <v>1497</v>
      </c>
      <c r="M116" s="273"/>
      <c r="N116" s="304">
        <f>SUM(N114:N115)</f>
        <v>554859.05819890182</v>
      </c>
      <c r="O116" s="306">
        <f>SUM(O114:O115)</f>
        <v>1496</v>
      </c>
      <c r="P116" s="272"/>
      <c r="Q116" s="304">
        <f>SUM(Q114:Q115)</f>
        <v>554574.30235035671</v>
      </c>
      <c r="R116" s="306">
        <f>SUM(R114:R115)</f>
        <v>1495</v>
      </c>
      <c r="S116" s="272"/>
      <c r="T116" s="304">
        <f>SUM(T114:T115)</f>
        <v>554280.29193673341</v>
      </c>
      <c r="U116" s="306">
        <f>SUM(U114:U115)</f>
        <v>1494</v>
      </c>
      <c r="V116" s="272"/>
      <c r="W116" s="304">
        <f>SUM(W114:W115)</f>
        <v>553979.60236522323</v>
      </c>
      <c r="X116" s="306">
        <f>SUM(X114:X115)</f>
        <v>1493</v>
      </c>
      <c r="Y116" s="272"/>
      <c r="Z116" s="304">
        <f>SUM(Z114:Z115)</f>
        <v>553663.29454565956</v>
      </c>
      <c r="AA116" s="306">
        <f>SUM(AA114:AA115)</f>
        <v>1493</v>
      </c>
      <c r="AB116" s="272"/>
      <c r="AC116" s="304">
        <f>SUM(AC114:AC115)</f>
        <v>553339.67637838377</v>
      </c>
      <c r="AD116" s="306">
        <f>SUM(AD114:AD115)</f>
        <v>1492</v>
      </c>
      <c r="AE116" s="272"/>
      <c r="AF116" s="304">
        <f>SUM(AF114:AF115)</f>
        <v>553005.54062067159</v>
      </c>
      <c r="AG116" s="306">
        <f>SUM(AG114:AG115)</f>
        <v>1490</v>
      </c>
      <c r="AH116" s="272"/>
    </row>
    <row r="117" spans="1:34" x14ac:dyDescent="0.35">
      <c r="B117" s="207"/>
      <c r="E117" s="301"/>
      <c r="F117" s="301"/>
      <c r="G117" s="272"/>
      <c r="H117" s="301"/>
      <c r="I117" s="301"/>
      <c r="J117" s="272"/>
      <c r="K117" s="302"/>
      <c r="L117" s="302"/>
      <c r="M117" s="273"/>
      <c r="N117" s="302"/>
      <c r="O117" s="301"/>
      <c r="P117" s="272"/>
      <c r="Q117" s="302"/>
      <c r="R117" s="301"/>
      <c r="S117" s="272"/>
      <c r="T117" s="302"/>
      <c r="U117" s="301"/>
      <c r="V117" s="272"/>
      <c r="W117" s="302"/>
      <c r="X117" s="301"/>
      <c r="Y117" s="272"/>
      <c r="Z117" s="302"/>
      <c r="AA117" s="301"/>
      <c r="AB117" s="272"/>
      <c r="AC117" s="302"/>
      <c r="AD117" s="301"/>
      <c r="AE117" s="272"/>
      <c r="AF117" s="302"/>
      <c r="AG117" s="301"/>
      <c r="AH117" s="272"/>
    </row>
    <row r="118" spans="1:34" s="248" customFormat="1" x14ac:dyDescent="0.35">
      <c r="A118" s="129" t="s">
        <v>303</v>
      </c>
      <c r="B118" s="246"/>
      <c r="C118" s="129"/>
      <c r="D118" s="247"/>
      <c r="E118" s="298">
        <f>+E110-E116</f>
        <v>-2230730.1809027777</v>
      </c>
      <c r="F118" s="298">
        <f>IFERROR(ROUND(E118/(Assumptions!$C$7-Assumptions!$C$21),0),0)</f>
        <v>-6013</v>
      </c>
      <c r="G118" s="299"/>
      <c r="H118" s="298">
        <f>+H110-H116</f>
        <v>490449.91774498625</v>
      </c>
      <c r="I118" s="298">
        <f>IFERROR(ROUND(H118/(Assumptions!$C$7-Assumptions!$C$21),0),0)</f>
        <v>1322</v>
      </c>
      <c r="J118" s="299"/>
      <c r="K118" s="298">
        <f>+K110-K116</f>
        <v>649034.5906311525</v>
      </c>
      <c r="L118" s="298">
        <f>IFERROR(ROUND(K118/(Assumptions!$C$7-Assumptions!$C$21),0),0)</f>
        <v>1749</v>
      </c>
      <c r="M118" s="300"/>
      <c r="N118" s="298">
        <f>+N110-N116</f>
        <v>712354.05425309809</v>
      </c>
      <c r="O118" s="298">
        <f>IFERROR(ROUND(N118/(Assumptions!$C$7-Assumptions!$C$21),0),0)</f>
        <v>1920</v>
      </c>
      <c r="P118" s="299"/>
      <c r="Q118" s="298">
        <f>+Q110-Q116</f>
        <v>779254.87709568301</v>
      </c>
      <c r="R118" s="298">
        <f>IFERROR(ROUND(Q118/(Assumptions!$C$7-Assumptions!$C$21),0),0)</f>
        <v>2100</v>
      </c>
      <c r="S118" s="299"/>
      <c r="T118" s="298">
        <f>+T110-T116</f>
        <v>855728.88598557783</v>
      </c>
      <c r="U118" s="298">
        <f>IFERROR(ROUND(T118/(Assumptions!$C$7-Assumptions!$C$21),0),0)</f>
        <v>2307</v>
      </c>
      <c r="V118" s="299"/>
      <c r="W118" s="298">
        <f>+W110-W116</f>
        <v>1499976.9673525062</v>
      </c>
      <c r="X118" s="298">
        <f>IFERROR(ROUND(W118/(Assumptions!$C$7-Assumptions!$C$21),0),0)</f>
        <v>4043</v>
      </c>
      <c r="Y118" s="299"/>
      <c r="Z118" s="298">
        <f>+Z110-Z116</f>
        <v>649588.66691820743</v>
      </c>
      <c r="AA118" s="298">
        <f>IFERROR(ROUND(Z118/(Assumptions!$C$7-Assumptions!$C$21),0),0)</f>
        <v>1751</v>
      </c>
      <c r="AB118" s="299"/>
      <c r="AC118" s="298">
        <f>+AC110-AC116</f>
        <v>708914.37162294798</v>
      </c>
      <c r="AD118" s="298">
        <f>IFERROR(ROUND(AC118/(Assumptions!$C$7-Assumptions!$C$21),0),0)</f>
        <v>1911</v>
      </c>
      <c r="AE118" s="299"/>
      <c r="AF118" s="298">
        <f>+AF110-AF116</f>
        <v>3952653.0344276465</v>
      </c>
      <c r="AG118" s="298">
        <f>IFERROR(ROUND(AF118/(Assumptions!$C$7-Assumptions!$C$21),0),0)</f>
        <v>10654</v>
      </c>
      <c r="AH118" s="299"/>
    </row>
    <row r="119" spans="1:34" x14ac:dyDescent="0.35">
      <c r="B119" s="207"/>
      <c r="E119" s="301"/>
      <c r="F119" s="301"/>
      <c r="G119" s="272"/>
      <c r="H119" s="301"/>
      <c r="I119" s="301"/>
      <c r="J119" s="272"/>
      <c r="K119" s="302"/>
      <c r="L119" s="302"/>
      <c r="M119" s="273"/>
      <c r="N119" s="302"/>
      <c r="O119" s="301"/>
      <c r="P119" s="272"/>
      <c r="Q119" s="302"/>
      <c r="R119" s="301"/>
      <c r="S119" s="272"/>
      <c r="T119" s="302"/>
      <c r="U119" s="301"/>
      <c r="V119" s="272"/>
      <c r="W119" s="302"/>
      <c r="X119" s="301"/>
      <c r="Y119" s="272"/>
      <c r="Z119" s="302"/>
      <c r="AA119" s="301"/>
      <c r="AB119" s="272"/>
      <c r="AC119" s="302"/>
      <c r="AD119" s="301"/>
      <c r="AE119" s="272"/>
      <c r="AF119" s="302"/>
      <c r="AG119" s="301"/>
      <c r="AH119" s="272"/>
    </row>
    <row r="120" spans="1:34" x14ac:dyDescent="0.35">
      <c r="A120" s="75" t="s">
        <v>301</v>
      </c>
      <c r="B120" s="251">
        <f>Assumptions!$C$27</f>
        <v>10955000</v>
      </c>
      <c r="C120" s="315"/>
      <c r="E120" s="307">
        <f>B126</f>
        <v>10955000</v>
      </c>
      <c r="F120" s="304"/>
      <c r="G120" s="272"/>
      <c r="H120" s="308">
        <f>E126-E142-E148-E151</f>
        <v>11393200</v>
      </c>
      <c r="I120" s="304"/>
      <c r="J120" s="272"/>
      <c r="K120" s="308">
        <f>H126-H142-H148-H151</f>
        <v>10915538.465804011</v>
      </c>
      <c r="L120" s="317"/>
      <c r="M120" s="273"/>
      <c r="N120" s="308">
        <f>K126-K142-K148-K151</f>
        <v>10298539.662075948</v>
      </c>
      <c r="O120" s="304"/>
      <c r="P120" s="272"/>
      <c r="Q120" s="308">
        <f>N126-N142-N148-N151</f>
        <v>9642256.0496091507</v>
      </c>
      <c r="R120" s="304"/>
      <c r="S120" s="272"/>
      <c r="T120" s="308">
        <f>Q126-Q142-Q148-Q151</f>
        <v>8921790.9834035989</v>
      </c>
      <c r="U120" s="304"/>
      <c r="V120" s="272"/>
      <c r="W120" s="308">
        <f>T126-T142-T148-T151</f>
        <v>4184556.0886220029</v>
      </c>
      <c r="X120" s="304"/>
      <c r="Y120" s="272"/>
      <c r="Z120" s="308">
        <f>W126-W142-W148-W151</f>
        <v>2950147.5487070074</v>
      </c>
      <c r="AA120" s="304"/>
      <c r="AB120" s="272"/>
      <c r="AC120" s="308">
        <f>Z126-Z142-Z148-Z151</f>
        <v>2408099.5028364384</v>
      </c>
      <c r="AD120" s="304"/>
      <c r="AE120" s="272"/>
      <c r="AF120" s="308">
        <f>AC126-AC142-AC148-AC151</f>
        <v>1823639.9238715</v>
      </c>
      <c r="AG120" s="304"/>
      <c r="AH120" s="272"/>
    </row>
    <row r="121" spans="1:34" x14ac:dyDescent="0.35">
      <c r="A121" s="191" t="s">
        <v>299</v>
      </c>
      <c r="B121" s="251">
        <f>Assumptions!$C$55*Assumptions!$C$26</f>
        <v>0</v>
      </c>
      <c r="C121" s="316"/>
      <c r="E121" s="251">
        <f>Assumptions!$C$54*E120</f>
        <v>438200</v>
      </c>
      <c r="F121" s="304"/>
      <c r="G121" s="272"/>
      <c r="H121" s="251">
        <f>Assumptions!$C$54*H120</f>
        <v>455728</v>
      </c>
      <c r="I121" s="304"/>
      <c r="J121" s="272"/>
      <c r="K121" s="251">
        <f>Assumptions!$C$55*K120</f>
        <v>545776.92329020053</v>
      </c>
      <c r="L121" s="304"/>
      <c r="M121" s="273"/>
      <c r="N121" s="251">
        <f>Assumptions!$C$55*N120</f>
        <v>514926.98310379742</v>
      </c>
      <c r="O121" s="304"/>
      <c r="P121" s="272"/>
      <c r="Q121" s="251">
        <f>Assumptions!$C$56*Q120</f>
        <v>578535.36297654908</v>
      </c>
      <c r="R121" s="304"/>
      <c r="S121" s="272"/>
      <c r="T121" s="251">
        <f>Assumptions!$C$56*T120</f>
        <v>535307.4590042159</v>
      </c>
      <c r="U121" s="304"/>
      <c r="V121" s="272"/>
      <c r="W121" s="251">
        <f>Assumptions!$C$56*W120</f>
        <v>251073.36531732016</v>
      </c>
      <c r="X121" s="304"/>
      <c r="Y121" s="272"/>
      <c r="Z121" s="251">
        <f>Assumptions!$C$56*Z120</f>
        <v>177008.85292242042</v>
      </c>
      <c r="AA121" s="304"/>
      <c r="AB121" s="272"/>
      <c r="AC121" s="251">
        <f>Assumptions!$C$56*AC120</f>
        <v>144485.97017018631</v>
      </c>
      <c r="AD121" s="304"/>
      <c r="AE121" s="272"/>
      <c r="AF121" s="251">
        <f>Assumptions!$C$56*AF120</f>
        <v>109418.39543229</v>
      </c>
      <c r="AG121" s="304"/>
      <c r="AH121" s="272"/>
    </row>
    <row r="122" spans="1:34" x14ac:dyDescent="0.35">
      <c r="A122" s="191" t="s">
        <v>300</v>
      </c>
      <c r="B122" s="251"/>
      <c r="C122" s="316"/>
      <c r="E122" s="309">
        <f>+IF(E118&gt;(E121+E131),E121,0)</f>
        <v>0</v>
      </c>
      <c r="F122" s="304"/>
      <c r="G122" s="272"/>
      <c r="H122" s="309">
        <f>+IF(H118&gt;(H121+H131),H121,0)</f>
        <v>455728</v>
      </c>
      <c r="I122" s="304"/>
      <c r="J122" s="272"/>
      <c r="K122" s="309">
        <f>+IF(K118&gt;(K121+K131),K121,0)</f>
        <v>545776.92329020053</v>
      </c>
      <c r="L122" s="304"/>
      <c r="M122" s="273"/>
      <c r="N122" s="309">
        <f>+IF(N118&gt;(N121+N131),N121,0)</f>
        <v>514926.98310379742</v>
      </c>
      <c r="O122" s="304"/>
      <c r="P122" s="272"/>
      <c r="Q122" s="309">
        <f>+IF(Q118&gt;(Q121+Q131),Q121,0)</f>
        <v>578535.36297654908</v>
      </c>
      <c r="R122" s="304"/>
      <c r="S122" s="272"/>
      <c r="T122" s="309">
        <f>+IF(T118&gt;(T121+T131),T121,0)</f>
        <v>535307.4590042159</v>
      </c>
      <c r="U122" s="304"/>
      <c r="V122" s="272"/>
      <c r="W122" s="309">
        <f>+IF(W118&gt;(W121+W131),W121,0)</f>
        <v>251073.36531732016</v>
      </c>
      <c r="X122" s="304"/>
      <c r="Y122" s="272"/>
      <c r="Z122" s="309">
        <f>+IF(Z118&gt;(Z121+Z131),Z121,0)</f>
        <v>177008.85292242042</v>
      </c>
      <c r="AA122" s="304"/>
      <c r="AB122" s="272"/>
      <c r="AC122" s="309">
        <f>+IF(AC118&gt;(AC121+AC131),AC121,0)</f>
        <v>144485.97017018631</v>
      </c>
      <c r="AD122" s="304"/>
      <c r="AE122" s="272"/>
      <c r="AF122" s="309">
        <f>+IF(AF118&gt;(AF121+AF131),AF121,0)</f>
        <v>109418.39543229</v>
      </c>
      <c r="AG122" s="304"/>
      <c r="AH122" s="272"/>
    </row>
    <row r="123" spans="1:34" x14ac:dyDescent="0.35">
      <c r="B123" s="251"/>
      <c r="C123" s="316"/>
      <c r="E123" s="309"/>
      <c r="F123" s="304"/>
      <c r="G123" s="272"/>
      <c r="H123" s="309"/>
      <c r="I123" s="304"/>
      <c r="J123" s="272"/>
      <c r="K123" s="309"/>
      <c r="L123" s="304"/>
      <c r="M123" s="273"/>
      <c r="N123" s="309"/>
      <c r="O123" s="304"/>
      <c r="P123" s="272"/>
      <c r="Q123" s="309"/>
      <c r="R123" s="304"/>
      <c r="S123" s="272"/>
      <c r="T123" s="309"/>
      <c r="U123" s="304"/>
      <c r="V123" s="272"/>
      <c r="W123" s="309"/>
      <c r="X123" s="304"/>
      <c r="Y123" s="272"/>
      <c r="Z123" s="309"/>
      <c r="AA123" s="304"/>
      <c r="AB123" s="272"/>
      <c r="AC123" s="309"/>
      <c r="AD123" s="304"/>
      <c r="AE123" s="272"/>
      <c r="AF123" s="309"/>
      <c r="AG123" s="304"/>
      <c r="AH123" s="272"/>
    </row>
    <row r="124" spans="1:34" x14ac:dyDescent="0.35">
      <c r="A124" s="75" t="s">
        <v>306</v>
      </c>
      <c r="B124" s="251"/>
      <c r="C124" s="316"/>
      <c r="E124" s="310">
        <f>+IF(E118&gt;(E121+E131),(E118-E122-E132)*Assumptions!$C$57,0)</f>
        <v>0</v>
      </c>
      <c r="F124" s="304"/>
      <c r="G124" s="272"/>
      <c r="H124" s="310">
        <f>+IF(H118&gt;(H121+H131),(H118-H122-H132)*Assumptions!$C$57,0)</f>
        <v>21933.534195988999</v>
      </c>
      <c r="I124" s="304"/>
      <c r="J124" s="272"/>
      <c r="K124" s="310">
        <f>+IF(K118&gt;(K121+K131),(K118-K122-K132)*Assumptions!$C$57,0)</f>
        <v>71221.880437862463</v>
      </c>
      <c r="L124" s="304"/>
      <c r="M124" s="273"/>
      <c r="N124" s="310">
        <f>+IF(N118&gt;(N121+N131),(N118-N122-N132)*Assumptions!$C$57,0)</f>
        <v>141356.62936300071</v>
      </c>
      <c r="O124" s="304"/>
      <c r="P124" s="272"/>
      <c r="Q124" s="310">
        <f>+IF(Q118&gt;(Q121+Q131),(Q118-Q122-Q132)*Assumptions!$C$57,0)</f>
        <v>141929.70322900283</v>
      </c>
      <c r="R124" s="304"/>
      <c r="S124" s="272"/>
      <c r="T124" s="310">
        <f>+IF(T118&gt;(T121+T131),(T118-T122-T132)*Assumptions!$C$57,0)</f>
        <v>239072.06956547254</v>
      </c>
      <c r="U124" s="304"/>
      <c r="V124" s="272"/>
      <c r="W124" s="310">
        <f>+IF(W118&gt;(W121+W131),(W118-W122-W132)*Assumptions!$C$57,0)</f>
        <v>983335.17459767556</v>
      </c>
      <c r="X124" s="304"/>
      <c r="Y124" s="272"/>
      <c r="Z124" s="310">
        <f>+IF(Z118&gt;(Z121+Z131),(Z118-Z122-Z132)*Assumptions!$C$57,0)</f>
        <v>365039.19294814876</v>
      </c>
      <c r="AA124" s="304"/>
      <c r="AB124" s="272"/>
      <c r="AC124" s="310">
        <f>+IF(AC118&gt;(AC121+AC131),(AC118-AC122-AC132)*Assumptions!$C$57,0)</f>
        <v>439973.60879475198</v>
      </c>
      <c r="AD124" s="304"/>
      <c r="AE124" s="272"/>
      <c r="AF124" s="310">
        <f>+IF(AF118&gt;(AF121+AF131),(AF118-AF122-AF132)*Assumptions!$C$57,0)</f>
        <v>3064525.1827726755</v>
      </c>
      <c r="AG124" s="304"/>
      <c r="AH124" s="272"/>
    </row>
    <row r="125" spans="1:34" x14ac:dyDescent="0.35">
      <c r="A125" s="75" t="s">
        <v>304</v>
      </c>
      <c r="B125" s="251"/>
      <c r="C125" s="316"/>
      <c r="E125" s="309">
        <f>+IF(E124&gt;0,E118-E122-E132-E124-E133,0)</f>
        <v>0</v>
      </c>
      <c r="F125" s="304"/>
      <c r="G125" s="272"/>
      <c r="H125" s="309">
        <f>+IF(H124&gt;0,H118-H122-H132-H124-H133,0)</f>
        <v>5194.7194214752917</v>
      </c>
      <c r="I125" s="304"/>
      <c r="J125" s="272"/>
      <c r="K125" s="309">
        <f>+IF(K124&gt;0,K118-K122-K132-K124-K133,0)</f>
        <v>15955.139941606634</v>
      </c>
      <c r="L125" s="304"/>
      <c r="M125" s="273"/>
      <c r="N125" s="309">
        <f>+IF(N124&gt;0,N118-N122-N132-N124-N133,0)</f>
        <v>29901.170923311583</v>
      </c>
      <c r="O125" s="304"/>
      <c r="P125" s="272"/>
      <c r="Q125" s="309">
        <f>+IF(Q124&gt;0,Q118-Q122-Q132-Q124-Q133,0)</f>
        <v>30022.393250812089</v>
      </c>
      <c r="R125" s="304"/>
      <c r="S125" s="272"/>
      <c r="T125" s="309">
        <f>+IF(T124&gt;0,T118-T122-T132-T124-T133,0)</f>
        <v>50570.9201420596</v>
      </c>
      <c r="U125" s="304"/>
      <c r="V125" s="272"/>
      <c r="W125" s="309">
        <f>+IF(W124&gt;0,W118-W122-W132-W124-W133,0)</f>
        <v>208004.91114600358</v>
      </c>
      <c r="X125" s="304"/>
      <c r="Y125" s="272"/>
      <c r="Z125" s="309">
        <f>+IF(Z124&gt;0,Z118-Z122-Z132-Z124-Z133,0)</f>
        <v>77216.748526314739</v>
      </c>
      <c r="AA125" s="304"/>
      <c r="AB125" s="272"/>
      <c r="AC125" s="309">
        <f>+IF(AC124&gt;0,AC118-AC122-AC132-AC124-AC133,0)</f>
        <v>93067.627161188735</v>
      </c>
      <c r="AD125" s="304"/>
      <c r="AE125" s="272"/>
      <c r="AF125" s="309">
        <f>+IF(AF124&gt;0,AF118-AF122-AF132-AF124-AF133,0)</f>
        <v>648239.07942489989</v>
      </c>
      <c r="AG125" s="304"/>
      <c r="AH125" s="272"/>
    </row>
    <row r="126" spans="1:34" x14ac:dyDescent="0.35">
      <c r="A126" s="75" t="s">
        <v>302</v>
      </c>
      <c r="B126" s="249">
        <f>+B120</f>
        <v>10955000</v>
      </c>
      <c r="C126" s="194"/>
      <c r="D126" s="181"/>
      <c r="E126" s="306">
        <f>+IF(AND(E122&gt;0,E120-E122-E124&gt;0),E120-E122-E124,IF(E120-E122-E124&lt;0,0,E120+E121))</f>
        <v>11393200</v>
      </c>
      <c r="F126" s="306"/>
      <c r="G126" s="276"/>
      <c r="H126" s="306">
        <f>+IF(AND(H122&gt;0,H120-H122-H124&gt;0),H120-H122-H124,IF(H120-H122-H124&lt;0,0,H120+H121))</f>
        <v>10915538.465804011</v>
      </c>
      <c r="I126" s="306"/>
      <c r="J126" s="276"/>
      <c r="K126" s="306">
        <f>+IF(AND(K122&gt;0,K120-K122-K124&gt;0),K120-K122-K124,IF(K120-K122-K124&lt;0,0,K120+K121))</f>
        <v>10298539.662075948</v>
      </c>
      <c r="L126" s="306"/>
      <c r="M126" s="275"/>
      <c r="N126" s="306">
        <f>+IF(AND(N122&gt;0,N120-N122-N124&gt;0),N120-N122-N124,IF(N120-N122-N124&lt;0,0,N120+N121))</f>
        <v>9642256.0496091507</v>
      </c>
      <c r="O126" s="306"/>
      <c r="P126" s="276"/>
      <c r="Q126" s="306">
        <f>+IF(AND(Q122&gt;0,Q120-Q122-Q124&gt;0),Q120-Q122-Q124,IF(Q120-Q122-Q124&lt;0,0,Q120+Q121))</f>
        <v>8921790.9834035989</v>
      </c>
      <c r="R126" s="306"/>
      <c r="S126" s="276"/>
      <c r="T126" s="306">
        <f>+IF(AND(T122&gt;0,T120-T122-T124&gt;0),T120-T122-T124,IF(T120-T122-T124&lt;0,0,T120+T121))</f>
        <v>8147411.4548339108</v>
      </c>
      <c r="U126" s="306"/>
      <c r="V126" s="276"/>
      <c r="W126" s="306">
        <f>+IF(AND(W122&gt;0,W120-W122-W124&gt;0),W120-W122-W124,IF(W120-W122-W124&lt;0,0,W120+W121))</f>
        <v>2950147.5487070074</v>
      </c>
      <c r="X126" s="306"/>
      <c r="Y126" s="276"/>
      <c r="Z126" s="306">
        <f>+IF(AND(Z122&gt;0,Z120-Z122-Z124&gt;0),Z120-Z122-Z124,IF(Z120-Z122-Z124&lt;0,0,Z120+Z121))</f>
        <v>2408099.5028364384</v>
      </c>
      <c r="AA126" s="306"/>
      <c r="AB126" s="276"/>
      <c r="AC126" s="306">
        <f>+IF(AND(AC122&gt;0,AC120-AC122-AC124&gt;0),AC120-AC122-AC124,IF(AC120-AC122-AC124&lt;0,0,AC120+AC121))</f>
        <v>1823639.9238715</v>
      </c>
      <c r="AD126" s="306"/>
      <c r="AE126" s="276"/>
      <c r="AF126" s="306">
        <f>+IF(AND(AF122&gt;0,AF120-AF122-AF124&gt;0),AF120-AF122-AF124,IF(AF120-AF122-AF124&lt;0,0,AF120+AF121))</f>
        <v>0</v>
      </c>
      <c r="AG126" s="306"/>
      <c r="AH126" s="272"/>
    </row>
    <row r="127" spans="1:34" x14ac:dyDescent="0.35">
      <c r="B127" s="209"/>
      <c r="C127" s="318"/>
      <c r="D127" s="181"/>
      <c r="E127" s="310"/>
      <c r="F127" s="310"/>
      <c r="G127" s="276"/>
      <c r="H127" s="310"/>
      <c r="I127" s="310"/>
      <c r="J127" s="276"/>
      <c r="K127" s="310"/>
      <c r="L127" s="310"/>
      <c r="M127" s="275"/>
      <c r="N127" s="310"/>
      <c r="O127" s="310"/>
      <c r="P127" s="276"/>
      <c r="Q127" s="310"/>
      <c r="R127" s="310"/>
      <c r="S127" s="276"/>
      <c r="T127" s="310"/>
      <c r="U127" s="310"/>
      <c r="V127" s="276"/>
      <c r="W127" s="310"/>
      <c r="X127" s="310"/>
      <c r="Y127" s="276"/>
      <c r="Z127" s="310"/>
      <c r="AA127" s="310"/>
      <c r="AB127" s="276"/>
      <c r="AC127" s="310"/>
      <c r="AD127" s="310"/>
      <c r="AE127" s="276"/>
      <c r="AF127" s="310"/>
      <c r="AG127" s="310"/>
      <c r="AH127" s="272"/>
    </row>
    <row r="128" spans="1:34" x14ac:dyDescent="0.35">
      <c r="A128" s="75" t="s">
        <v>320</v>
      </c>
      <c r="B128" s="209"/>
      <c r="C128" s="318"/>
      <c r="D128" s="181"/>
      <c r="E128" s="310">
        <v>0</v>
      </c>
      <c r="F128" s="310"/>
      <c r="G128" s="276"/>
      <c r="H128" s="309">
        <f>+IF(H4&lt;=Assumptions!$C$61+1,E128+(Assumptions!$C$60*Assumptions!$C$62*Assumptions!$C$7),E128)</f>
        <v>146100</v>
      </c>
      <c r="I128" s="310"/>
      <c r="J128" s="276"/>
      <c r="K128" s="309">
        <f>+IF(K4&lt;=Assumptions!$C$61+1,H128+(Assumptions!$C$60*Assumptions!$C$62*Assumptions!$C$7),H128)</f>
        <v>292200</v>
      </c>
      <c r="L128" s="310"/>
      <c r="M128" s="275"/>
      <c r="N128" s="309">
        <f>+IF(N4&lt;=Assumptions!$C$61+1,K128+(Assumptions!$C$60*Assumptions!$C$62*Assumptions!$C$7),K128)</f>
        <v>438300</v>
      </c>
      <c r="O128" s="310"/>
      <c r="P128" s="276"/>
      <c r="Q128" s="309">
        <f>+IF(Q4&lt;=Assumptions!$C$61+1,N128+(Assumptions!$C$60*Assumptions!$C$62*Assumptions!$C$7),N128)</f>
        <v>438300</v>
      </c>
      <c r="R128" s="310"/>
      <c r="S128" s="276"/>
      <c r="T128" s="309">
        <f>+IF(T4&lt;=Assumptions!$C$61+1,Q128+(Assumptions!$C$60*Assumptions!$C$62*Assumptions!$C$7),Q128)</f>
        <v>438300</v>
      </c>
      <c r="U128" s="310"/>
      <c r="V128" s="276"/>
      <c r="W128" s="309">
        <f>+IF(W4&lt;=Assumptions!$C$61+1,T128+(Assumptions!$C$60*Assumptions!$C$62*Assumptions!$C$7),T128)</f>
        <v>438300</v>
      </c>
      <c r="X128" s="310"/>
      <c r="Y128" s="276"/>
      <c r="Z128" s="309">
        <f>+IF(Z4&lt;=Assumptions!$C$61+1,W128+(Assumptions!$C$60*Assumptions!$C$62*Assumptions!$C$7),W128)</f>
        <v>438300</v>
      </c>
      <c r="AA128" s="310"/>
      <c r="AB128" s="276"/>
      <c r="AC128" s="309">
        <f>+IF(AC4&lt;=Assumptions!$C$61+1,Z128+(Assumptions!$C$60*Assumptions!$C$62*Assumptions!$C$7),Z128)</f>
        <v>438300</v>
      </c>
      <c r="AD128" s="310"/>
      <c r="AE128" s="276"/>
      <c r="AF128" s="309">
        <f>+IF(AF4&lt;=Assumptions!$C$61+1,AC128+(Assumptions!$C$60*Assumptions!$C$62*Assumptions!$C$7),AC128)</f>
        <v>438300</v>
      </c>
      <c r="AG128" s="310"/>
      <c r="AH128" s="272"/>
    </row>
    <row r="129" spans="1:34" s="326" customFormat="1" x14ac:dyDescent="0.35">
      <c r="A129" s="321" t="s">
        <v>319</v>
      </c>
      <c r="B129" s="329"/>
      <c r="C129" s="330"/>
      <c r="D129" s="322"/>
      <c r="E129" s="331"/>
      <c r="F129" s="332"/>
      <c r="G129" s="333"/>
      <c r="H129" s="335">
        <f>+H128/($B$120+H128)</f>
        <v>1.316085793299763E-2</v>
      </c>
      <c r="I129" s="332"/>
      <c r="J129" s="333"/>
      <c r="K129" s="335">
        <f>+K128/($B$120+K128)</f>
        <v>2.5979799416743724E-2</v>
      </c>
      <c r="L129" s="332"/>
      <c r="M129" s="334"/>
      <c r="N129" s="335">
        <f>+N128/($B$120+N128)</f>
        <v>3.8469977969508393E-2</v>
      </c>
      <c r="O129" s="332"/>
      <c r="P129" s="333"/>
      <c r="Q129" s="335">
        <f>+Q128/($B$120+Q128)</f>
        <v>3.8469977969508393E-2</v>
      </c>
      <c r="R129" s="332"/>
      <c r="S129" s="333"/>
      <c r="T129" s="335">
        <f>+T128/($B$120+T128)</f>
        <v>3.8469977969508393E-2</v>
      </c>
      <c r="U129" s="332"/>
      <c r="V129" s="333"/>
      <c r="W129" s="335">
        <f>+W128/($B$120+W128)</f>
        <v>3.8469977969508393E-2</v>
      </c>
      <c r="X129" s="332"/>
      <c r="Y129" s="333"/>
      <c r="Z129" s="335">
        <f>+Z128/($B$120+Z128)</f>
        <v>3.8469977969508393E-2</v>
      </c>
      <c r="AA129" s="332"/>
      <c r="AB129" s="333"/>
      <c r="AC129" s="335">
        <f>+AC128/($B$120+AC128)</f>
        <v>3.8469977969508393E-2</v>
      </c>
      <c r="AD129" s="332"/>
      <c r="AE129" s="333"/>
      <c r="AF129" s="335">
        <f>+AF128/($B$120+AF128)</f>
        <v>3.8469977969508393E-2</v>
      </c>
      <c r="AG129" s="332"/>
      <c r="AH129" s="333"/>
    </row>
    <row r="130" spans="1:34" x14ac:dyDescent="0.35">
      <c r="A130" s="75" t="s">
        <v>308</v>
      </c>
      <c r="B130" s="208">
        <v>0</v>
      </c>
      <c r="C130" s="316"/>
      <c r="E130" s="309">
        <v>0</v>
      </c>
      <c r="F130" s="304"/>
      <c r="G130" s="272"/>
      <c r="H130" s="309">
        <f>+IF(H4&lt;=Assumptions!$C$61+1,E130+(Assumptions!$C$60*Assumptions!$C$62*Assumptions!$C$7),E130)</f>
        <v>146100</v>
      </c>
      <c r="I130" s="304"/>
      <c r="J130" s="272"/>
      <c r="K130" s="309">
        <f>+IF(K4&lt;=Assumptions!$C$61+1,H134+(Assumptions!$C$60*Assumptions!$C$62*Assumptions!$C$7),H134)</f>
        <v>284606.33587247808</v>
      </c>
      <c r="L130" s="304"/>
      <c r="M130" s="273"/>
      <c r="N130" s="309">
        <f>+IF(N4&lt;=Assumptions!$C$61+1,K134+(Assumptions!$C$60*Assumptions!$C$62*Assumptions!$C$7),K134)</f>
        <v>414625.6889109952</v>
      </c>
      <c r="O130" s="304"/>
      <c r="P130" s="272"/>
      <c r="Q130" s="309">
        <f>+IF(Q4&lt;=Assumptions!$C$61+1,N134+(Assumptions!$C$60*Assumptions!$C$62*Assumptions!$C$7),N134)</f>
        <v>388456.41804800683</v>
      </c>
      <c r="R130" s="304"/>
      <c r="S130" s="272"/>
      <c r="T130" s="309">
        <f>+IF(T4&lt;=Assumptions!$C$61+1,Q134+(Assumptions!$C$60*Assumptions!$C$62*Assumptions!$C$7),Q134)</f>
        <v>359689.00040868786</v>
      </c>
      <c r="U130" s="304"/>
      <c r="V130" s="272"/>
      <c r="W130" s="309">
        <f>+IF(W4&lt;=Assumptions!$C$61+1,T134+(Assumptions!$C$60*Assumptions!$C$62*Assumptions!$C$7),T134)</f>
        <v>328910.56313485809</v>
      </c>
      <c r="X130" s="304"/>
      <c r="Y130" s="272"/>
      <c r="Z130" s="309">
        <f>+IF(Z4&lt;=Assumptions!$C$61+1,W134+(Assumptions!$C$60*Assumptions!$C$62*Assumptions!$C$7),W134)</f>
        <v>271347.04684335133</v>
      </c>
      <c r="AA130" s="304"/>
      <c r="AB130" s="272"/>
      <c r="AC130" s="309">
        <f>+IF(AC4&lt;=Assumptions!$C$61+1,Z134+(Assumptions!$C$60*Assumptions!$C$62*Assumptions!$C$7),Z134)</f>
        <v>241023.17432202783</v>
      </c>
      <c r="AD130" s="304"/>
      <c r="AE130" s="272"/>
      <c r="AF130" s="309">
        <f>+IF(AF4&lt;=Assumptions!$C$61+1,AC134+(Assumptions!$C$60*Assumptions!$C$62*Assumptions!$C$7),AC134)</f>
        <v>209636.00882520695</v>
      </c>
      <c r="AG130" s="304"/>
      <c r="AH130" s="272"/>
    </row>
    <row r="131" spans="1:34" x14ac:dyDescent="0.35">
      <c r="A131" s="191" t="s">
        <v>314</v>
      </c>
      <c r="B131" s="208"/>
      <c r="C131" s="316"/>
      <c r="E131" s="251">
        <f>Assumptions!$C$55*E130</f>
        <v>0</v>
      </c>
      <c r="F131" s="304"/>
      <c r="G131" s="272"/>
      <c r="H131" s="251">
        <f>Assumptions!$C$55*H130</f>
        <v>7305</v>
      </c>
      <c r="I131" s="304"/>
      <c r="J131" s="272"/>
      <c r="K131" s="251">
        <f>Assumptions!$C$55*K130</f>
        <v>14230.316793623904</v>
      </c>
      <c r="L131" s="304"/>
      <c r="M131" s="273"/>
      <c r="N131" s="251">
        <f>Assumptions!$C$55*N130</f>
        <v>20731.284445549762</v>
      </c>
      <c r="O131" s="304"/>
      <c r="P131" s="272"/>
      <c r="Q131" s="251">
        <f>Assumptions!$C$56*Q130</f>
        <v>23307.38508288041</v>
      </c>
      <c r="R131" s="304"/>
      <c r="S131" s="272"/>
      <c r="T131" s="251">
        <f>Assumptions!$C$56*T130</f>
        <v>21581.340024521272</v>
      </c>
      <c r="U131" s="304"/>
      <c r="V131" s="272"/>
      <c r="W131" s="251">
        <f>Assumptions!$C$56*W130</f>
        <v>19734.633788091483</v>
      </c>
      <c r="X131" s="304"/>
      <c r="Y131" s="272"/>
      <c r="Z131" s="251">
        <f>Assumptions!$C$56*Z130</f>
        <v>16280.822810601079</v>
      </c>
      <c r="AA131" s="304"/>
      <c r="AB131" s="272"/>
      <c r="AC131" s="251">
        <f>Assumptions!$C$56*AC130</f>
        <v>14461.390459321668</v>
      </c>
      <c r="AD131" s="304"/>
      <c r="AE131" s="272"/>
      <c r="AF131" s="251">
        <f>Assumptions!$C$56*AF130</f>
        <v>12578.160529512417</v>
      </c>
      <c r="AG131" s="304"/>
      <c r="AH131" s="272"/>
    </row>
    <row r="132" spans="1:34" x14ac:dyDescent="0.35">
      <c r="A132" s="191" t="s">
        <v>313</v>
      </c>
      <c r="B132" s="208"/>
      <c r="C132" s="316"/>
      <c r="E132" s="309">
        <f>+IF(E118&gt;(E121+E131),E131,0)</f>
        <v>0</v>
      </c>
      <c r="F132" s="304"/>
      <c r="G132" s="272"/>
      <c r="H132" s="309">
        <f>+IF(H118&gt;(H121+H131),H131,0)</f>
        <v>7305</v>
      </c>
      <c r="I132" s="304"/>
      <c r="J132" s="272"/>
      <c r="K132" s="309">
        <f>+IF(K118&gt;(K121+K131),K131,0)</f>
        <v>14230.316793623904</v>
      </c>
      <c r="L132" s="304"/>
      <c r="M132" s="273"/>
      <c r="N132" s="309">
        <f>+IF(N118&gt;(N121+N131),N131,0)</f>
        <v>20731.284445549762</v>
      </c>
      <c r="O132" s="304"/>
      <c r="P132" s="272"/>
      <c r="Q132" s="309">
        <f>+IF(Q118&gt;(Q121+Q131),Q131,0)</f>
        <v>23307.38508288041</v>
      </c>
      <c r="R132" s="304"/>
      <c r="S132" s="272"/>
      <c r="T132" s="309">
        <f>+IF(T118&gt;(T121+T131),T131,0)</f>
        <v>21581.340024521272</v>
      </c>
      <c r="U132" s="304"/>
      <c r="V132" s="272"/>
      <c r="W132" s="309">
        <f>+IF(W118&gt;(W121+W131),W131,0)</f>
        <v>19734.633788091483</v>
      </c>
      <c r="X132" s="304"/>
      <c r="Y132" s="272"/>
      <c r="Z132" s="309">
        <f>+IF(Z118&gt;(Z121+Z131),Z131,0)</f>
        <v>16280.822810601079</v>
      </c>
      <c r="AA132" s="304"/>
      <c r="AB132" s="272"/>
      <c r="AC132" s="309">
        <f>+IF(AC118&gt;(AC121+AC131),AC131,0)</f>
        <v>14461.390459321668</v>
      </c>
      <c r="AD132" s="304"/>
      <c r="AE132" s="272"/>
      <c r="AF132" s="309">
        <f>+IF(AF118&gt;(AF121+AF131),AF131,0)</f>
        <v>12578.160529512417</v>
      </c>
      <c r="AG132" s="304"/>
      <c r="AH132" s="272"/>
    </row>
    <row r="133" spans="1:34" x14ac:dyDescent="0.35">
      <c r="A133" s="191" t="s">
        <v>315</v>
      </c>
      <c r="B133" s="208"/>
      <c r="C133" s="316"/>
      <c r="E133" s="310">
        <f>+IF(E124&gt;0,(E118-E122-E132)*E129*Assumptions!$C$57,0)</f>
        <v>0</v>
      </c>
      <c r="F133" s="304"/>
      <c r="G133" s="272"/>
      <c r="H133" s="310">
        <f>+IF(H124&gt;0,(H118-H122-H132)*H129*Assumptions!$C$57,0)</f>
        <v>288.66412752195663</v>
      </c>
      <c r="I133" s="304"/>
      <c r="J133" s="272"/>
      <c r="K133" s="310">
        <f>+IF(K124&gt;0,(K118-K122-K132)*K129*Assumptions!$C$57,0)</f>
        <v>1850.3301678589703</v>
      </c>
      <c r="L133" s="304"/>
      <c r="M133" s="273"/>
      <c r="N133" s="310">
        <f>+IF(N124&gt;0,(N118-N122-N132)*N129*Assumptions!$C$57,0)</f>
        <v>5437.9864174386012</v>
      </c>
      <c r="O133" s="304"/>
      <c r="P133" s="272"/>
      <c r="Q133" s="310">
        <f>+IF(Q124&gt;0,(Q118-Q122-Q132)*Q129*Assumptions!$C$57,0)</f>
        <v>5460.032556438603</v>
      </c>
      <c r="R133" s="304"/>
      <c r="S133" s="272"/>
      <c r="T133" s="310">
        <f>+IF(T124&gt;0,(T118-T122-T132)*T129*Assumptions!$C$57,0)</f>
        <v>9197.0972493085046</v>
      </c>
      <c r="U133" s="304"/>
      <c r="V133" s="272"/>
      <c r="W133" s="310">
        <f>+IF(W124&gt;0,(W118-W122-W132)*W129*Assumptions!$C$57,0)</f>
        <v>37828.882503415269</v>
      </c>
      <c r="X133" s="304"/>
      <c r="Y133" s="272"/>
      <c r="Z133" s="310">
        <f>+IF(Z124&gt;0,(Z118-Z122-Z132)*Z129*Assumptions!$C$57,0)</f>
        <v>14043.049710722406</v>
      </c>
      <c r="AA133" s="304"/>
      <c r="AB133" s="272"/>
      <c r="AC133" s="310">
        <f>+IF(AC124&gt;0,(AC118-AC122-AC132)*AC129*Assumptions!$C$57,0)</f>
        <v>16925.775037499214</v>
      </c>
      <c r="AD133" s="304"/>
      <c r="AE133" s="272"/>
      <c r="AF133" s="310">
        <f>+IF(AF124&gt;0,(AF118-AF122-AF132)*AF129*Assumptions!$C$57,0)</f>
        <v>117892.21626826849</v>
      </c>
      <c r="AG133" s="304"/>
      <c r="AH133" s="272"/>
    </row>
    <row r="134" spans="1:34" x14ac:dyDescent="0.35">
      <c r="A134" s="75" t="s">
        <v>316</v>
      </c>
      <c r="B134" s="208"/>
      <c r="C134" s="316"/>
      <c r="E134" s="310"/>
      <c r="F134" s="304"/>
      <c r="G134" s="272"/>
      <c r="H134" s="306">
        <f>+IF(AND(H132&gt;0,H130-H132-H133&gt;0),H130-H132-H133,IF(H130-H132-H133&lt;0,0,H130+H131))</f>
        <v>138506.33587247806</v>
      </c>
      <c r="I134" s="304"/>
      <c r="J134" s="272"/>
      <c r="K134" s="306">
        <f>+IF(AND(K132&gt;0,K130-K132-K133&gt;0),K130-K132-K133,IF(K130-K132-K133&lt;0,0,K130+K131))</f>
        <v>268525.6889109952</v>
      </c>
      <c r="L134" s="304"/>
      <c r="M134" s="273"/>
      <c r="N134" s="306">
        <f>+IF(AND(N132&gt;0,N130-N132-N133&gt;0),N130-N132-N133,IF(N130-N132-N133&lt;0,0,N130+N131))</f>
        <v>388456.41804800683</v>
      </c>
      <c r="O134" s="304"/>
      <c r="P134" s="272"/>
      <c r="Q134" s="306">
        <f>+IF(AND(Q132&gt;0,Q130-Q132-Q133&gt;0),Q130-Q132-Q133,IF(Q130-Q132-Q133&lt;0,0,Q130+Q131))</f>
        <v>359689.00040868786</v>
      </c>
      <c r="R134" s="304"/>
      <c r="S134" s="272"/>
      <c r="T134" s="306">
        <f>+IF(AND(T132&gt;0,T130-T132-T133&gt;0),T130-T132-T133,IF(T130-T132-T133&lt;0,0,T130+T131))</f>
        <v>328910.56313485809</v>
      </c>
      <c r="U134" s="304"/>
      <c r="V134" s="272"/>
      <c r="W134" s="306">
        <f>+IF(AND(W132&gt;0,W130-W132-W133&gt;0),W130-W132-W133,IF(W130-W132-W133&lt;0,0,W130+W131))</f>
        <v>271347.04684335133</v>
      </c>
      <c r="X134" s="304"/>
      <c r="Y134" s="272"/>
      <c r="Z134" s="306">
        <f>+IF(AND(Z132&gt;0,Z130-Z132-Z133&gt;0),Z130-Z132-Z133,IF(Z130-Z132-Z133&lt;0,0,Z130+Z131))</f>
        <v>241023.17432202783</v>
      </c>
      <c r="AA134" s="304"/>
      <c r="AB134" s="272"/>
      <c r="AC134" s="306">
        <f>+IF(AND(AC132&gt;0,AC130-AC132-AC133&gt;0),AC130-AC132-AC133,IF(AC130-AC132-AC133&lt;0,0,AC130+AC131))</f>
        <v>209636.00882520695</v>
      </c>
      <c r="AD134" s="304"/>
      <c r="AE134" s="272"/>
      <c r="AF134" s="306">
        <f>+IF(AND(AF132&gt;0,AF130-AF132-AF133&gt;0),AF130-AF132-AF133,IF(AF130-AF132-AF133&lt;0,0,AF130+AF131))</f>
        <v>79165.632027426051</v>
      </c>
      <c r="AG134" s="304"/>
      <c r="AH134" s="272"/>
    </row>
    <row r="135" spans="1:34" x14ac:dyDescent="0.35">
      <c r="B135" s="208"/>
      <c r="C135" s="316"/>
      <c r="E135" s="310"/>
      <c r="F135" s="304"/>
      <c r="G135" s="272"/>
      <c r="H135" s="310"/>
      <c r="I135" s="304"/>
      <c r="J135" s="272"/>
      <c r="K135" s="310"/>
      <c r="L135" s="304"/>
      <c r="M135" s="273"/>
      <c r="N135" s="310"/>
      <c r="O135" s="304"/>
      <c r="P135" s="272"/>
      <c r="Q135" s="310"/>
      <c r="R135" s="304"/>
      <c r="S135" s="272"/>
      <c r="T135" s="310"/>
      <c r="U135" s="304"/>
      <c r="V135" s="272"/>
      <c r="W135" s="310"/>
      <c r="X135" s="304"/>
      <c r="Y135" s="272"/>
      <c r="Z135" s="310"/>
      <c r="AA135" s="304"/>
      <c r="AB135" s="272"/>
      <c r="AC135" s="310"/>
      <c r="AD135" s="304"/>
      <c r="AE135" s="272"/>
      <c r="AF135" s="310"/>
      <c r="AG135" s="304"/>
      <c r="AH135" s="272"/>
    </row>
    <row r="136" spans="1:34" s="326" customFormat="1" x14ac:dyDescent="0.35">
      <c r="A136" s="321" t="s">
        <v>321</v>
      </c>
      <c r="B136" s="329"/>
      <c r="C136" s="330"/>
      <c r="D136" s="322"/>
      <c r="E136" s="331">
        <f>+IF(E118&lt;0,0,ROUND(E118-E122-E124-E125-E132-E133,1))</f>
        <v>0</v>
      </c>
      <c r="F136" s="332"/>
      <c r="G136" s="333"/>
      <c r="H136" s="331">
        <f>+IF(H118&lt;0,0,ROUND(H118-H122-H124-H125-H132-H133,1))</f>
        <v>0</v>
      </c>
      <c r="I136" s="332"/>
      <c r="J136" s="333"/>
      <c r="K136" s="331">
        <f>+IF(K118&lt;0,0,ROUND(K118-K122-K124-K125-K132-K133,1))</f>
        <v>0</v>
      </c>
      <c r="L136" s="332"/>
      <c r="M136" s="334"/>
      <c r="N136" s="331">
        <f>+IF(N118&lt;0,0,ROUND(N118-N122-N124-N125-N132-N133,1))</f>
        <v>0</v>
      </c>
      <c r="O136" s="332"/>
      <c r="P136" s="333"/>
      <c r="Q136" s="331">
        <f>+IF(Q118&lt;0,0,ROUND(Q118-Q122-Q124-Q125-Q132-Q133,1))</f>
        <v>0</v>
      </c>
      <c r="R136" s="332"/>
      <c r="S136" s="333"/>
      <c r="T136" s="331">
        <f>+IF(T118&lt;0,0,ROUND(T118-T122-T124-T125-T132-T133,1))</f>
        <v>0</v>
      </c>
      <c r="U136" s="332"/>
      <c r="V136" s="333"/>
      <c r="W136" s="331">
        <f>+IF(W118&lt;0,0,ROUND(W118-W122-W124-W125-W132-W133,1))</f>
        <v>0</v>
      </c>
      <c r="X136" s="332"/>
      <c r="Y136" s="333"/>
      <c r="Z136" s="331">
        <f>+IF(Z118&lt;0,0,ROUND(Z118-Z122-Z124-Z125-Z132-Z133,1))</f>
        <v>0</v>
      </c>
      <c r="AA136" s="332"/>
      <c r="AB136" s="333"/>
      <c r="AC136" s="331">
        <f>+IF(AC118&lt;0,0,ROUND(AC118-AC122-AC124-AC125-AC132-AC133,1))</f>
        <v>0</v>
      </c>
      <c r="AD136" s="332"/>
      <c r="AE136" s="333"/>
      <c r="AF136" s="331">
        <f>+IF(AF118&lt;0,0,ROUND(AF118-AF122-AF124-AF125-AF132-AF133,1))</f>
        <v>0</v>
      </c>
      <c r="AG136" s="332"/>
      <c r="AH136" s="333"/>
    </row>
    <row r="137" spans="1:34" x14ac:dyDescent="0.35">
      <c r="B137" s="208"/>
      <c r="C137" s="316"/>
      <c r="E137" s="309"/>
      <c r="F137" s="304"/>
      <c r="G137" s="272"/>
      <c r="H137" s="309"/>
      <c r="I137" s="304"/>
      <c r="J137" s="272"/>
      <c r="K137" s="309"/>
      <c r="L137" s="304"/>
      <c r="M137" s="273"/>
      <c r="N137" s="309"/>
      <c r="O137" s="304"/>
      <c r="P137" s="272"/>
      <c r="Q137" s="309"/>
      <c r="R137" s="304"/>
      <c r="S137" s="272"/>
      <c r="T137" s="309"/>
      <c r="U137" s="304"/>
      <c r="V137" s="272"/>
      <c r="W137" s="309"/>
      <c r="X137" s="304"/>
      <c r="Y137" s="272"/>
      <c r="Z137" s="309"/>
      <c r="AA137" s="304"/>
      <c r="AB137" s="272"/>
      <c r="AC137" s="309"/>
      <c r="AD137" s="304"/>
      <c r="AE137" s="272"/>
      <c r="AF137" s="309"/>
      <c r="AG137" s="304"/>
      <c r="AH137" s="272"/>
    </row>
    <row r="138" spans="1:34" s="248" customFormat="1" x14ac:dyDescent="0.35">
      <c r="A138" s="128" t="s">
        <v>305</v>
      </c>
      <c r="B138" s="246"/>
      <c r="C138" s="129"/>
      <c r="D138" s="247"/>
      <c r="E138" s="298">
        <f>IF(E4=Assumptions!$C$19,Sale!$B$24,0)</f>
        <v>0</v>
      </c>
      <c r="F138" s="298"/>
      <c r="G138" s="299"/>
      <c r="H138" s="298">
        <f>IF(H4=Assumptions!$C$19,Sale!$B$24,0)</f>
        <v>0</v>
      </c>
      <c r="I138" s="298"/>
      <c r="J138" s="299"/>
      <c r="K138" s="298">
        <f>IF(K4=Assumptions!$C$19,Sale!$B$24,0)</f>
        <v>0</v>
      </c>
      <c r="L138" s="298"/>
      <c r="M138" s="300"/>
      <c r="N138" s="298">
        <f>IF(N4=Assumptions!$C$19,Sale!$B$24,0)</f>
        <v>0</v>
      </c>
      <c r="O138" s="298"/>
      <c r="P138" s="299"/>
      <c r="Q138" s="298">
        <f>IF(Q4=Assumptions!$C$19,Sale!$B$24,0)</f>
        <v>0</v>
      </c>
      <c r="R138" s="298"/>
      <c r="S138" s="299"/>
      <c r="T138" s="298">
        <f>IF(T4=Assumptions!$C$19,Sale!$B$24,0)</f>
        <v>3982590</v>
      </c>
      <c r="U138" s="298"/>
      <c r="V138" s="299"/>
      <c r="W138" s="298">
        <f>IF(W4=Assumptions!$C$19,Sale!$B$24,0)</f>
        <v>0</v>
      </c>
      <c r="X138" s="298"/>
      <c r="Y138" s="299"/>
      <c r="Z138" s="298">
        <f>IF(Z4=Assumptions!$C$19,Sale!$B$24,0)</f>
        <v>0</v>
      </c>
      <c r="AA138" s="298"/>
      <c r="AB138" s="299"/>
      <c r="AC138" s="298">
        <f>IF(AC4=Assumptions!$C$19,Sale!$B$24,0)</f>
        <v>0</v>
      </c>
      <c r="AD138" s="298"/>
      <c r="AE138" s="299"/>
      <c r="AF138" s="311">
        <f>Exit!B32</f>
        <v>14280292</v>
      </c>
      <c r="AG138" s="298"/>
      <c r="AH138" s="299"/>
    </row>
    <row r="139" spans="1:34" s="248" customFormat="1" x14ac:dyDescent="0.35">
      <c r="A139" s="128"/>
      <c r="B139" s="246"/>
      <c r="C139" s="129"/>
      <c r="D139" s="247"/>
      <c r="E139" s="298"/>
      <c r="F139" s="298"/>
      <c r="G139" s="299"/>
      <c r="H139" s="298"/>
      <c r="I139" s="298"/>
      <c r="J139" s="299"/>
      <c r="K139" s="298"/>
      <c r="L139" s="298"/>
      <c r="M139" s="300"/>
      <c r="N139" s="298"/>
      <c r="O139" s="298"/>
      <c r="P139" s="299"/>
      <c r="Q139" s="298"/>
      <c r="R139" s="298"/>
      <c r="S139" s="299"/>
      <c r="T139" s="298"/>
      <c r="U139" s="298"/>
      <c r="V139" s="299"/>
      <c r="W139" s="298"/>
      <c r="X139" s="298"/>
      <c r="Y139" s="299"/>
      <c r="Z139" s="298"/>
      <c r="AA139" s="298"/>
      <c r="AB139" s="299"/>
      <c r="AC139" s="298"/>
      <c r="AD139" s="298"/>
      <c r="AE139" s="299"/>
      <c r="AF139" s="298"/>
      <c r="AG139" s="298"/>
      <c r="AH139" s="299"/>
    </row>
    <row r="140" spans="1:34" x14ac:dyDescent="0.35">
      <c r="A140" s="75" t="s">
        <v>301</v>
      </c>
      <c r="B140" s="208"/>
      <c r="C140" s="316"/>
      <c r="E140" s="312">
        <f>+IF(E138&gt;0,E126,0)</f>
        <v>0</v>
      </c>
      <c r="F140" s="304"/>
      <c r="G140" s="272"/>
      <c r="H140" s="312">
        <f>+IF(H138&gt;0,H126,0)</f>
        <v>0</v>
      </c>
      <c r="I140" s="304"/>
      <c r="J140" s="272"/>
      <c r="K140" s="312">
        <f>+IF(K138&gt;0,K126,0)</f>
        <v>0</v>
      </c>
      <c r="L140" s="304"/>
      <c r="M140" s="273"/>
      <c r="N140" s="312">
        <f>+IF(N138&gt;0,N126,0)</f>
        <v>0</v>
      </c>
      <c r="O140" s="304"/>
      <c r="P140" s="272"/>
      <c r="Q140" s="312">
        <f>+IF(Q138&gt;0,Q126,0)</f>
        <v>0</v>
      </c>
      <c r="R140" s="304"/>
      <c r="S140" s="272"/>
      <c r="T140" s="312">
        <f>+IF(T138&gt;0,T126,0)</f>
        <v>8147411.4548339108</v>
      </c>
      <c r="U140" s="304"/>
      <c r="V140" s="272"/>
      <c r="W140" s="312">
        <f>+IF(W138&gt;0,W126,0)</f>
        <v>0</v>
      </c>
      <c r="X140" s="304"/>
      <c r="Y140" s="272"/>
      <c r="Z140" s="312">
        <f>+IF(Z138&gt;0,Z126,0)</f>
        <v>0</v>
      </c>
      <c r="AA140" s="304"/>
      <c r="AB140" s="272"/>
      <c r="AC140" s="312">
        <f>+IF(AC138&gt;0,AC126,0)</f>
        <v>0</v>
      </c>
      <c r="AD140" s="304"/>
      <c r="AE140" s="272"/>
      <c r="AF140" s="312">
        <f>+IF(AF138&gt;0,AF126,0)</f>
        <v>0</v>
      </c>
      <c r="AG140" s="304"/>
      <c r="AH140" s="272"/>
    </row>
    <row r="141" spans="1:34" x14ac:dyDescent="0.35">
      <c r="A141" s="75" t="s">
        <v>299</v>
      </c>
      <c r="B141" s="208"/>
      <c r="C141" s="316"/>
      <c r="E141" s="251">
        <f>Assumptions!$C$55*E140</f>
        <v>0</v>
      </c>
      <c r="F141" s="304"/>
      <c r="G141" s="272"/>
      <c r="H141" s="251">
        <f>Assumptions!$C$55*H140</f>
        <v>0</v>
      </c>
      <c r="I141" s="304"/>
      <c r="J141" s="272"/>
      <c r="K141" s="251">
        <f>Assumptions!$C$55*K140</f>
        <v>0</v>
      </c>
      <c r="L141" s="304"/>
      <c r="M141" s="273"/>
      <c r="N141" s="251">
        <f>Assumptions!$C$55*N140</f>
        <v>0</v>
      </c>
      <c r="O141" s="304"/>
      <c r="P141" s="272"/>
      <c r="Q141" s="251">
        <f>Assumptions!$C$55*Q140</f>
        <v>0</v>
      </c>
      <c r="R141" s="304"/>
      <c r="S141" s="272"/>
      <c r="T141" s="251">
        <f>Assumptions!$C$56*T140</f>
        <v>488844.68729003461</v>
      </c>
      <c r="U141" s="304"/>
      <c r="V141" s="272"/>
      <c r="W141" s="251">
        <f>Assumptions!$C$56*W140</f>
        <v>0</v>
      </c>
      <c r="X141" s="304"/>
      <c r="Y141" s="272"/>
      <c r="Z141" s="251">
        <f>Assumptions!$C$56*Z140</f>
        <v>0</v>
      </c>
      <c r="AA141" s="304"/>
      <c r="AB141" s="272"/>
      <c r="AC141" s="251">
        <f>Assumptions!$C$56*AC140</f>
        <v>0</v>
      </c>
      <c r="AD141" s="304"/>
      <c r="AE141" s="272"/>
      <c r="AF141" s="251">
        <f>Assumptions!$C$56*AF140</f>
        <v>0</v>
      </c>
      <c r="AG141" s="304"/>
      <c r="AH141" s="272"/>
    </row>
    <row r="142" spans="1:34" x14ac:dyDescent="0.35">
      <c r="A142" s="191" t="s">
        <v>300</v>
      </c>
      <c r="B142" s="208"/>
      <c r="C142" s="316"/>
      <c r="E142" s="309">
        <f>+IF(E138&gt;E141,E141,0)</f>
        <v>0</v>
      </c>
      <c r="F142" s="304"/>
      <c r="G142" s="272"/>
      <c r="H142" s="309">
        <f>+IF(H138&gt;H141,H141,0)</f>
        <v>0</v>
      </c>
      <c r="I142" s="304"/>
      <c r="J142" s="272"/>
      <c r="K142" s="309">
        <f>+IF(K138&gt;K141,K141,0)</f>
        <v>0</v>
      </c>
      <c r="L142" s="304"/>
      <c r="M142" s="273"/>
      <c r="N142" s="309">
        <f>+IF(N138&gt;N141,N141,0)</f>
        <v>0</v>
      </c>
      <c r="O142" s="304"/>
      <c r="P142" s="272"/>
      <c r="Q142" s="309">
        <f>+IF(Q138&gt;Q141,Q141,0)</f>
        <v>0</v>
      </c>
      <c r="R142" s="304"/>
      <c r="S142" s="272"/>
      <c r="T142" s="309">
        <f>+IF(T138&gt;T141,T141,0)</f>
        <v>488844.68729003461</v>
      </c>
      <c r="U142" s="304"/>
      <c r="V142" s="272"/>
      <c r="W142" s="309">
        <f>+IF(W138&gt;W141,W141,0)</f>
        <v>0</v>
      </c>
      <c r="X142" s="304"/>
      <c r="Y142" s="272"/>
      <c r="Z142" s="309">
        <f>+IF(Z138&gt;Z141,Z141,0)</f>
        <v>0</v>
      </c>
      <c r="AA142" s="304"/>
      <c r="AB142" s="272"/>
      <c r="AC142" s="309">
        <f>+IF(AC138&gt;AC141,AC141,0)</f>
        <v>0</v>
      </c>
      <c r="AD142" s="304"/>
      <c r="AE142" s="272"/>
      <c r="AF142" s="309">
        <f>+IF(AF138&gt;AF141,AF141,0)</f>
        <v>0</v>
      </c>
      <c r="AG142" s="304"/>
      <c r="AH142" s="272"/>
    </row>
    <row r="143" spans="1:34" x14ac:dyDescent="0.35">
      <c r="A143" s="191"/>
      <c r="B143" s="208"/>
      <c r="C143" s="316"/>
      <c r="E143" s="309"/>
      <c r="F143" s="304"/>
      <c r="G143" s="272"/>
      <c r="H143" s="309"/>
      <c r="I143" s="304"/>
      <c r="J143" s="272"/>
      <c r="K143" s="309"/>
      <c r="L143" s="304"/>
      <c r="M143" s="273"/>
      <c r="N143" s="309"/>
      <c r="O143" s="304"/>
      <c r="P143" s="272"/>
      <c r="Q143" s="309"/>
      <c r="R143" s="304"/>
      <c r="S143" s="272"/>
      <c r="T143" s="309"/>
      <c r="U143" s="304"/>
      <c r="V143" s="272"/>
      <c r="W143" s="309"/>
      <c r="X143" s="304"/>
      <c r="Y143" s="272"/>
      <c r="Z143" s="309"/>
      <c r="AA143" s="304"/>
      <c r="AB143" s="272"/>
      <c r="AC143" s="309"/>
      <c r="AD143" s="304"/>
      <c r="AE143" s="272"/>
      <c r="AF143" s="309"/>
      <c r="AG143" s="304"/>
      <c r="AH143" s="272"/>
    </row>
    <row r="144" spans="1:34" x14ac:dyDescent="0.35">
      <c r="A144" s="75" t="s">
        <v>317</v>
      </c>
      <c r="B144" s="208"/>
      <c r="C144" s="316"/>
      <c r="E144" s="312">
        <f>+IF(E138&gt;0,E134,0)</f>
        <v>0</v>
      </c>
      <c r="F144" s="304"/>
      <c r="G144" s="272"/>
      <c r="H144" s="312">
        <f>+IF(H138&gt;0,H134,0)</f>
        <v>0</v>
      </c>
      <c r="I144" s="304"/>
      <c r="J144" s="272"/>
      <c r="K144" s="312">
        <f>+IF(K138&gt;0,K134,0)</f>
        <v>0</v>
      </c>
      <c r="L144" s="304"/>
      <c r="M144" s="273"/>
      <c r="N144" s="312">
        <f>+IF(N138&gt;0,N134,0)</f>
        <v>0</v>
      </c>
      <c r="O144" s="304"/>
      <c r="P144" s="272"/>
      <c r="Q144" s="312">
        <f>+IF(Q138&gt;0,Q134,0)</f>
        <v>0</v>
      </c>
      <c r="R144" s="304"/>
      <c r="S144" s="272"/>
      <c r="T144" s="312">
        <f>+IF(T138&gt;0,T134,0)</f>
        <v>328910.56313485809</v>
      </c>
      <c r="U144" s="304"/>
      <c r="V144" s="272"/>
      <c r="W144" s="312">
        <f>+IF(W138&gt;0,W134,0)</f>
        <v>0</v>
      </c>
      <c r="X144" s="304"/>
      <c r="Y144" s="272"/>
      <c r="Z144" s="312">
        <f>+IF(Z138&gt;0,Z134,0)</f>
        <v>0</v>
      </c>
      <c r="AA144" s="304"/>
      <c r="AB144" s="272"/>
      <c r="AC144" s="312">
        <f>+IF(AC138&gt;0,AC134,0)</f>
        <v>0</v>
      </c>
      <c r="AD144" s="304"/>
      <c r="AE144" s="272"/>
      <c r="AF144" s="312">
        <f>+IF(AF138&gt;0,AF134,0)</f>
        <v>79165.632027426051</v>
      </c>
      <c r="AG144" s="304"/>
      <c r="AH144" s="272"/>
    </row>
    <row r="145" spans="1:34" x14ac:dyDescent="0.35">
      <c r="A145" s="75" t="s">
        <v>314</v>
      </c>
      <c r="B145" s="208"/>
      <c r="C145" s="316"/>
      <c r="E145" s="251">
        <f>Assumptions!$C$56*E144</f>
        <v>0</v>
      </c>
      <c r="F145" s="304"/>
      <c r="G145" s="272"/>
      <c r="H145" s="251">
        <f>Assumptions!$C$56*H144</f>
        <v>0</v>
      </c>
      <c r="I145" s="304"/>
      <c r="J145" s="272"/>
      <c r="K145" s="251">
        <f>Assumptions!$C$56*K144</f>
        <v>0</v>
      </c>
      <c r="L145" s="304"/>
      <c r="M145" s="273"/>
      <c r="N145" s="251">
        <f>Assumptions!$C$56*N144</f>
        <v>0</v>
      </c>
      <c r="O145" s="304"/>
      <c r="P145" s="272"/>
      <c r="Q145" s="251">
        <f>Assumptions!$C$56*Q144</f>
        <v>0</v>
      </c>
      <c r="R145" s="304"/>
      <c r="S145" s="272"/>
      <c r="T145" s="251">
        <f>Assumptions!$C$56*T144</f>
        <v>19734.633788091483</v>
      </c>
      <c r="U145" s="304"/>
      <c r="V145" s="272"/>
      <c r="W145" s="251">
        <f>Assumptions!$C$56*W144</f>
        <v>0</v>
      </c>
      <c r="X145" s="304"/>
      <c r="Y145" s="272"/>
      <c r="Z145" s="251">
        <f>Assumptions!$C$56*Z144</f>
        <v>0</v>
      </c>
      <c r="AA145" s="304"/>
      <c r="AB145" s="272"/>
      <c r="AC145" s="251">
        <f>Assumptions!$C$56*AC144</f>
        <v>0</v>
      </c>
      <c r="AD145" s="304"/>
      <c r="AE145" s="272"/>
      <c r="AF145" s="251">
        <f>Assumptions!$C$56*AF144</f>
        <v>4749.9379216455627</v>
      </c>
      <c r="AG145" s="304"/>
      <c r="AH145" s="272"/>
    </row>
    <row r="146" spans="1:34" x14ac:dyDescent="0.35">
      <c r="A146" s="191" t="s">
        <v>318</v>
      </c>
      <c r="B146" s="208"/>
      <c r="C146" s="316"/>
      <c r="E146" s="309">
        <f>+IF((E138-E142-E148)&gt;(E145+E141),E145,0)</f>
        <v>0</v>
      </c>
      <c r="F146" s="304"/>
      <c r="G146" s="272"/>
      <c r="H146" s="309">
        <f>+IF((H138-H142-H148)&gt;(H145+H141),H145,0)</f>
        <v>0</v>
      </c>
      <c r="I146" s="304"/>
      <c r="J146" s="272"/>
      <c r="K146" s="309">
        <f>+IF((K138-K142-K148)&gt;(K145+K141),K145,0)</f>
        <v>0</v>
      </c>
      <c r="L146" s="304"/>
      <c r="M146" s="273"/>
      <c r="N146" s="309">
        <f>+IF((N138-N142-N148)&gt;(N145+N141),N145,0)</f>
        <v>0</v>
      </c>
      <c r="O146" s="304"/>
      <c r="P146" s="272"/>
      <c r="Q146" s="309">
        <f>+IF((Q138-Q142-Q148)&gt;(Q145+Q141),Q145,0)</f>
        <v>0</v>
      </c>
      <c r="R146" s="304"/>
      <c r="S146" s="272"/>
      <c r="T146" s="309">
        <f>+IF(T142&gt;0,T145,0)</f>
        <v>19734.633788091483</v>
      </c>
      <c r="U146" s="304"/>
      <c r="V146" s="272"/>
      <c r="W146" s="309">
        <f>+IF((W138-W142-W148)&gt;(W145+W141),W145,0)</f>
        <v>0</v>
      </c>
      <c r="X146" s="304"/>
      <c r="Y146" s="272"/>
      <c r="Z146" s="309">
        <f>+IF((Z138-Z142-Z148)&gt;(Z145+Z141),Z145,0)</f>
        <v>0</v>
      </c>
      <c r="AA146" s="304"/>
      <c r="AB146" s="272"/>
      <c r="AC146" s="309">
        <f>+IF((AC138-AC142-AC148)&gt;(AC145+AC141),AC145,0)</f>
        <v>0</v>
      </c>
      <c r="AD146" s="304"/>
      <c r="AE146" s="272"/>
      <c r="AF146" s="309">
        <f>+IF((AF138-AF142-AF148)&gt;(AF145+AF141),AF145,0)</f>
        <v>4749.9379216455627</v>
      </c>
      <c r="AG146" s="304"/>
      <c r="AH146" s="272"/>
    </row>
    <row r="147" spans="1:34" x14ac:dyDescent="0.35">
      <c r="A147" s="191"/>
      <c r="B147" s="208"/>
      <c r="C147" s="316"/>
      <c r="E147" s="309"/>
      <c r="F147" s="304"/>
      <c r="G147" s="272"/>
      <c r="H147" s="309"/>
      <c r="I147" s="304"/>
      <c r="J147" s="272"/>
      <c r="K147" s="309"/>
      <c r="L147" s="304"/>
      <c r="M147" s="273"/>
      <c r="N147" s="309"/>
      <c r="O147" s="304"/>
      <c r="P147" s="272"/>
      <c r="Q147" s="309"/>
      <c r="R147" s="304"/>
      <c r="S147" s="272"/>
      <c r="T147" s="309"/>
      <c r="U147" s="304"/>
      <c r="V147" s="272"/>
      <c r="W147" s="309"/>
      <c r="X147" s="304"/>
      <c r="Y147" s="272"/>
      <c r="Z147" s="309"/>
      <c r="AA147" s="304"/>
      <c r="AB147" s="272"/>
      <c r="AC147" s="309"/>
      <c r="AD147" s="304"/>
      <c r="AE147" s="272"/>
      <c r="AF147" s="309"/>
      <c r="AG147" s="304"/>
      <c r="AH147" s="272"/>
    </row>
    <row r="148" spans="1:34" x14ac:dyDescent="0.35">
      <c r="A148" s="191" t="s">
        <v>307</v>
      </c>
      <c r="B148" s="208"/>
      <c r="C148" s="316"/>
      <c r="E148" s="309">
        <f>+IF(E138&gt;E140+E142,E140-E142,E138)</f>
        <v>0</v>
      </c>
      <c r="F148" s="304"/>
      <c r="G148" s="272"/>
      <c r="H148" s="309">
        <f>+IF(H138&gt;H140+H142,H140-H142,H138)</f>
        <v>0</v>
      </c>
      <c r="I148" s="304"/>
      <c r="J148" s="272"/>
      <c r="K148" s="309">
        <f>+IF(K138&gt;K140+K142,K140-K142,K138)</f>
        <v>0</v>
      </c>
      <c r="L148" s="304"/>
      <c r="M148" s="273"/>
      <c r="N148" s="309">
        <f>+IF(N138&gt;N140+N142,N140-N142,N138)</f>
        <v>0</v>
      </c>
      <c r="O148" s="304"/>
      <c r="P148" s="272"/>
      <c r="Q148" s="309">
        <f>+IF(Q138&gt;Q140+Q142,Q140-Q142,Q138)</f>
        <v>0</v>
      </c>
      <c r="R148" s="304"/>
      <c r="S148" s="272"/>
      <c r="T148" s="309">
        <f>+IF(T138&gt;T140+T142+T146,T140-T142-T146,T138-T142-T146)</f>
        <v>3474010.6789218737</v>
      </c>
      <c r="U148" s="304"/>
      <c r="V148" s="272"/>
      <c r="W148" s="309">
        <f>+IF(W138&gt;W140+W142,W140-W142,W138-W142)</f>
        <v>0</v>
      </c>
      <c r="X148" s="304"/>
      <c r="Y148" s="272"/>
      <c r="Z148" s="309">
        <f>+IF(Z138&gt;Z140+Z142,Z140-Z142,Z138-Z142)</f>
        <v>0</v>
      </c>
      <c r="AA148" s="304"/>
      <c r="AB148" s="272"/>
      <c r="AC148" s="309">
        <f>+IF(AC138&gt;AC140+AC142,AC140-AC142,AC138-AC142)</f>
        <v>0</v>
      </c>
      <c r="AD148" s="304"/>
      <c r="AE148" s="272"/>
      <c r="AF148" s="309">
        <f>+IF(AF138&gt;AF140+AF142,AF140-AF142,AF138-AF142)</f>
        <v>0</v>
      </c>
      <c r="AG148" s="304"/>
      <c r="AH148" s="272"/>
    </row>
    <row r="149" spans="1:34" x14ac:dyDescent="0.35">
      <c r="A149" s="191" t="s">
        <v>325</v>
      </c>
      <c r="B149" s="208"/>
      <c r="C149" s="316"/>
      <c r="E149" s="336">
        <f>+ROUND(IF(AND(E138-E142-E146-E148&gt;0,E138-E148-E142-E146&gt;=E130),(E138-E148-E142-E146)*E129,E138-E148-E142-E146),0)</f>
        <v>0</v>
      </c>
      <c r="F149" s="304"/>
      <c r="G149" s="272"/>
      <c r="H149" s="336">
        <f>+ROUND(IF(AND(H138-H142-H146-H148&gt;0,H138-H148-H142-H146&gt;=H130),(H138-H148-H142-H146)*H129,H138-H148-H142-H146),0)</f>
        <v>0</v>
      </c>
      <c r="I149" s="304"/>
      <c r="J149" s="272"/>
      <c r="K149" s="336">
        <f>+ROUND(IF(AND(K138-K142-K146-K148&gt;0,K138-K148-K142-K146&gt;=K130),(K138-K148-K142-K146)*K129,K138-K148-K142-K146),0)</f>
        <v>0</v>
      </c>
      <c r="L149" s="304"/>
      <c r="M149" s="273"/>
      <c r="N149" s="336">
        <f>+ROUND(IF(AND(N138-N142-N146-N148&gt;0,N138-N148-N142-N146&gt;=N130),(N138-N148-N142-N146)*N129,N138-N148-N142-N146),0)</f>
        <v>0</v>
      </c>
      <c r="O149" s="304"/>
      <c r="P149" s="272"/>
      <c r="Q149" s="336">
        <f>+ROUND(IF(AND(Q138-Q142-Q146-Q148&gt;0,Q138-Q148-Q142-Q146&gt;=Q130),(Q138-Q148-Q142-Q146)*Q129,Q138-Q148-Q142-Q146),0)</f>
        <v>0</v>
      </c>
      <c r="R149" s="304"/>
      <c r="S149" s="272"/>
      <c r="T149" s="336">
        <f>+ROUND(IF(AND(T138-T142-T146-T148&gt;0,T138-T148-T142-T146&gt;=T130),(T138-T148-T142-T146)*T129,T138-T148-T142-T146),0)</f>
        <v>0</v>
      </c>
      <c r="U149" s="304"/>
      <c r="V149" s="272"/>
      <c r="W149" s="336">
        <f>+ROUND(IF(AND(W138-W142-W146-W148&gt;0,W138-W148-W142-W146&gt;=W130),(W138-W148-W142-W146)*W129,W138-W148-W142-W146),0)</f>
        <v>0</v>
      </c>
      <c r="X149" s="304"/>
      <c r="Y149" s="272"/>
      <c r="Z149" s="336">
        <f>+ROUND(IF(AND(Z138-Z142-Z146-Z148&gt;0,Z138-Z148-Z142-Z146&gt;=Z130),(Z138-Z148-Z142-Z146)*Z129,Z138-Z148-Z142-Z146),0)</f>
        <v>0</v>
      </c>
      <c r="AA149" s="304"/>
      <c r="AB149" s="272"/>
      <c r="AC149" s="336">
        <f>+ROUND(IF(AND(AC138-AC142-AC146-AC148&gt;0,AC138-AC148-AC142-AC146&gt;=AC130),(AC138-AC148-AC142-AC146)*AC129,AC138-AC148-AC142-AC146),0)</f>
        <v>0</v>
      </c>
      <c r="AD149" s="304"/>
      <c r="AE149" s="272"/>
      <c r="AF149" s="336">
        <f>+ROUND(IF(AND(AF138-AF142-AF146-AF148&gt;0,AF138-AF148-AF142-AF146&gt;=AF130),(AF138-AF148-AF142-AF146)*AF129,AF138-AF148-AF142-AF146),0)</f>
        <v>549180</v>
      </c>
      <c r="AG149" s="304"/>
      <c r="AH149" s="272"/>
    </row>
    <row r="150" spans="1:34" x14ac:dyDescent="0.35">
      <c r="B150" s="208"/>
      <c r="C150" s="316"/>
      <c r="E150" s="309"/>
      <c r="F150" s="304"/>
      <c r="G150" s="272"/>
      <c r="H150" s="309"/>
      <c r="I150" s="304"/>
      <c r="J150" s="272"/>
      <c r="K150" s="309"/>
      <c r="L150" s="304"/>
      <c r="M150" s="273"/>
      <c r="N150" s="309"/>
      <c r="O150" s="304"/>
      <c r="P150" s="272"/>
      <c r="Q150" s="309"/>
      <c r="R150" s="304"/>
      <c r="S150" s="272"/>
      <c r="T150" s="309"/>
      <c r="U150" s="304"/>
      <c r="V150" s="272"/>
      <c r="W150" s="309"/>
      <c r="X150" s="304"/>
      <c r="Y150" s="272"/>
      <c r="Z150" s="309"/>
      <c r="AA150" s="304"/>
      <c r="AB150" s="272"/>
      <c r="AC150" s="309"/>
      <c r="AD150" s="304"/>
      <c r="AE150" s="272"/>
      <c r="AF150" s="309"/>
      <c r="AG150" s="304"/>
      <c r="AH150" s="272"/>
    </row>
    <row r="151" spans="1:34" x14ac:dyDescent="0.35">
      <c r="A151" s="75" t="s">
        <v>322</v>
      </c>
      <c r="B151" s="208"/>
      <c r="C151" s="316"/>
      <c r="E151" s="251">
        <f>ROUND(IF(E138-E142-E148-E146-E149&gt;=0,(E138-E148-E146-E149-E142)*Assumptions!$C$57*(1-E129),0),0)</f>
        <v>0</v>
      </c>
      <c r="F151" s="304">
        <f>IFERROR(ROUND(E151/(Assumptions!$C$7-Assumptions!$C$21),0),0)</f>
        <v>0</v>
      </c>
      <c r="G151" s="272"/>
      <c r="H151" s="251">
        <f>ROUND(IF(H138-H142-H148-H146-H149&gt;=0,(H138-H148-H146-H149-H142)*Assumptions!$C$57*(1-H129),0),0)</f>
        <v>0</v>
      </c>
      <c r="I151" s="304">
        <f>IFERROR(ROUND(H151/(Assumptions!$C$7-Assumptions!$C$21),0),0)</f>
        <v>0</v>
      </c>
      <c r="J151" s="272"/>
      <c r="K151" s="251">
        <f>ROUND(IF(K138-K142-K148-K146-K149&gt;=0,(K138-K148-K146-K149-K142)*Assumptions!$C$57*(1-K129),0),0)</f>
        <v>0</v>
      </c>
      <c r="L151" s="304">
        <f>IFERROR(ROUND(K151/(Assumptions!$C$7-Assumptions!$C$21),0),0)</f>
        <v>0</v>
      </c>
      <c r="M151" s="273"/>
      <c r="N151" s="251">
        <f>ROUND(IF(N138-N142-N148-N146-N149&gt;=0,(N138-N148-N146-N149-N142)*Assumptions!$C$57*(1-N129),0),0)</f>
        <v>0</v>
      </c>
      <c r="O151" s="304">
        <f>IFERROR(ROUND(N151/(Assumptions!$C$7-Assumptions!$C$21),0),0)</f>
        <v>0</v>
      </c>
      <c r="P151" s="272"/>
      <c r="Q151" s="251">
        <f>ROUND(IF(Q138-Q142-Q148-Q146-Q149&gt;=0,(Q138-Q148-Q146-Q149-Q142)*Assumptions!$C$57*(1-Q129),0),0)</f>
        <v>0</v>
      </c>
      <c r="R151" s="304">
        <f>IFERROR(ROUND(Q151/(Assumptions!$C$7-Assumptions!$C$21),0),0)</f>
        <v>0</v>
      </c>
      <c r="S151" s="272"/>
      <c r="T151" s="251">
        <f>ROUND(IF(T138-T142-T148-T146-T149&gt;=0,(T138-T148-T146-T149-T142)*Assumptions!$C$57*(1-T129),0),0)</f>
        <v>0</v>
      </c>
      <c r="U151" s="304">
        <f>IFERROR(ROUND(T151/(Assumptions!$C$7-Assumptions!$C$21),0),0)</f>
        <v>0</v>
      </c>
      <c r="V151" s="272"/>
      <c r="W151" s="251">
        <f>ROUND(IF(W138-W142-W148-W146-W149&gt;=0,(W138-W148-W146-W149-W142)*Assumptions!$C$57*(1-W129),0),0)</f>
        <v>0</v>
      </c>
      <c r="X151" s="304">
        <f>IFERROR(ROUND(W151/(Assumptions!$C$7-Assumptions!$C$21),0),0)</f>
        <v>0</v>
      </c>
      <c r="Y151" s="272"/>
      <c r="Z151" s="251">
        <f>ROUND(IF(Z138-Z142-Z148-Z146-Z149&gt;=0,(Z138-Z148-Z146-Z149-Z142)*Assumptions!$C$57*(1-Z129),0),0)</f>
        <v>0</v>
      </c>
      <c r="AA151" s="304">
        <f>IFERROR(ROUND(Z151/(Assumptions!$C$7-Assumptions!$C$21),0),0)</f>
        <v>0</v>
      </c>
      <c r="AB151" s="272"/>
      <c r="AC151" s="251">
        <f>ROUND(IF(AC138-AC142-AC148-AC146-AC149&gt;=0,(AC138-AC148-AC146-AC149-AC142)*Assumptions!$C$57*(1-AC129),0),0)</f>
        <v>0</v>
      </c>
      <c r="AD151" s="304">
        <f>IFERROR(ROUND(AC151/(Assumptions!$C$7-Assumptions!$C$21),0),0)</f>
        <v>0</v>
      </c>
      <c r="AE151" s="272"/>
      <c r="AF151" s="251">
        <f>ROUND(IF(AF138-AF142-AF148-AF146-AF149&gt;=0,(AF138-AF148-AF146-AF149-AF142)*Assumptions!$C$57*(1-AF129),0),0)</f>
        <v>10558647</v>
      </c>
      <c r="AG151" s="304"/>
      <c r="AH151" s="272"/>
    </row>
    <row r="152" spans="1:34" x14ac:dyDescent="0.35">
      <c r="A152" s="75" t="s">
        <v>323</v>
      </c>
      <c r="B152" s="208"/>
      <c r="C152" s="316"/>
      <c r="E152" s="251">
        <f>ROUND(IF(E138-E142-E148-E149-E146&gt;0,(E138-E148-E149-E146-E142)*Assumptions!$C$57*E129,0),0)</f>
        <v>0</v>
      </c>
      <c r="F152" s="304"/>
      <c r="G152" s="272"/>
      <c r="H152" s="251">
        <f>ROUND(IF(H138-H142-H148-H149-H146&gt;0,(H138-H148-H149-H146-H142)*Assumptions!$C$57*H129,0),0)</f>
        <v>0</v>
      </c>
      <c r="I152" s="304"/>
      <c r="J152" s="272"/>
      <c r="K152" s="251">
        <f>ROUND(IF(K138-K142-K148-K149-K146&gt;0,(K138-K148-K149-K146-K142)*Assumptions!$C$57*K129,0),0)</f>
        <v>0</v>
      </c>
      <c r="L152" s="304"/>
      <c r="M152" s="273"/>
      <c r="N152" s="251">
        <f>ROUND(IF(N138-N142-N148-N149-N146&gt;0,(N138-N148-N149-N146-N142)*Assumptions!$C$57*N129,0),0)</f>
        <v>0</v>
      </c>
      <c r="O152" s="304"/>
      <c r="P152" s="272"/>
      <c r="Q152" s="251">
        <f>ROUND(IF(Q138-Q142-Q148-Q149-Q146&gt;0,(Q138-Q148-Q149-Q146-Q142)*Assumptions!$C$57*Q129,0),0)</f>
        <v>0</v>
      </c>
      <c r="R152" s="304"/>
      <c r="S152" s="272"/>
      <c r="T152" s="251">
        <f>ROUND(IF(T138-T142-T148-T149-T146&gt;0,(T138-T148-T149-T146-T142)*Assumptions!$C$57*T129,0),0)</f>
        <v>0</v>
      </c>
      <c r="U152" s="304"/>
      <c r="V152" s="272"/>
      <c r="W152" s="251">
        <f>ROUND(IF(W138-W142-W148-W149-W146&gt;0,(W138-W148-W149-W146-W142)*Assumptions!$C$57*W129,0),0)</f>
        <v>0</v>
      </c>
      <c r="X152" s="304"/>
      <c r="Y152" s="272"/>
      <c r="Z152" s="251">
        <f>ROUND(IF(Z138-Z142-Z148-Z149-Z146&gt;0,(Z138-Z148-Z149-Z146-Z142)*Assumptions!$C$57*Z129,0),0)</f>
        <v>0</v>
      </c>
      <c r="AA152" s="304"/>
      <c r="AB152" s="272"/>
      <c r="AC152" s="251">
        <f>ROUND(IF(AC138-AC142-AC148-AC149-AC146&gt;0,(AC138-AC148-AC149-AC146-AC142)*Assumptions!$C$57*AC129,0),0)</f>
        <v>0</v>
      </c>
      <c r="AD152" s="304"/>
      <c r="AE152" s="272"/>
      <c r="AF152" s="251">
        <f>ROUND(IF(AF138-AF142-AF148-AF149-AF146&gt;0,(AF138-AF148-AF149-AF146-AF142)*Assumptions!$C$57*AF129,0),0)</f>
        <v>422442</v>
      </c>
      <c r="AG152" s="304"/>
      <c r="AH152" s="272"/>
    </row>
    <row r="153" spans="1:34" x14ac:dyDescent="0.35">
      <c r="A153" s="75" t="s">
        <v>324</v>
      </c>
      <c r="B153" s="209"/>
      <c r="C153" s="318"/>
      <c r="D153" s="181"/>
      <c r="E153" s="310">
        <f>IF((E151+E152)&gt;0,(E151+E152)/Assumptions!$C$57*(1-Assumptions!$C$57),0)</f>
        <v>0</v>
      </c>
      <c r="F153" s="310">
        <f>IFERROR(ROUND(E153/(Assumptions!$C$7-Assumptions!$C$21),0),0)</f>
        <v>0</v>
      </c>
      <c r="G153" s="276"/>
      <c r="H153" s="310">
        <f>IF((H151+H152)&gt;0,(H151+H152)/Assumptions!$C$57*(1-Assumptions!$C$57),0)</f>
        <v>0</v>
      </c>
      <c r="I153" s="310">
        <f>IFERROR(ROUND(H153/(Assumptions!$C$7-Assumptions!$C$21),0),0)</f>
        <v>0</v>
      </c>
      <c r="J153" s="276"/>
      <c r="K153" s="310">
        <f>IF((K151+K152)&gt;0,(K151+K152)/Assumptions!$C$57*(1-Assumptions!$C$57),0)</f>
        <v>0</v>
      </c>
      <c r="L153" s="310">
        <f>IFERROR(ROUND(K153/(Assumptions!$C$7-Assumptions!$C$21),0),0)</f>
        <v>0</v>
      </c>
      <c r="M153" s="275"/>
      <c r="N153" s="310">
        <f>IF((N151+N152)&gt;0,(N151+N152)/Assumptions!$C$57*(1-Assumptions!$C$57),0)</f>
        <v>0</v>
      </c>
      <c r="O153" s="310">
        <f>IFERROR(ROUND(N153/(Assumptions!$C$7-Assumptions!$C$21),0),0)</f>
        <v>0</v>
      </c>
      <c r="P153" s="276"/>
      <c r="Q153" s="310">
        <f>IF((Q151+Q152)&gt;0,(Q151+Q152)/Assumptions!$C$57*(1-Assumptions!$C$57),0)</f>
        <v>0</v>
      </c>
      <c r="R153" s="310">
        <f>IFERROR(ROUND(Q153/(Assumptions!$C$7-Assumptions!$C$21),0),0)</f>
        <v>0</v>
      </c>
      <c r="S153" s="276"/>
      <c r="T153" s="310">
        <f>IF((T151+T152)&gt;0,(T151+T152)/Assumptions!$C$57*(1-Assumptions!$C$57),0)</f>
        <v>0</v>
      </c>
      <c r="U153" s="310">
        <f>IFERROR(ROUND(T153/(Assumptions!$C$7-Assumptions!$C$21),0),0)</f>
        <v>0</v>
      </c>
      <c r="V153" s="276"/>
      <c r="W153" s="310">
        <f>IF((W151+W152)&gt;0,(W151+W152)/Assumptions!$C$57*(1-Assumptions!$C$57),0)</f>
        <v>0</v>
      </c>
      <c r="X153" s="310">
        <f>IFERROR(ROUND(W153/(Assumptions!$C$7-Assumptions!$C$21),0),0)</f>
        <v>0</v>
      </c>
      <c r="Y153" s="276"/>
      <c r="Z153" s="310">
        <f>IF((Z151+Z152)&gt;0,(Z151+Z152)/Assumptions!$C$57*(1-Assumptions!$C$57),0)</f>
        <v>0</v>
      </c>
      <c r="AA153" s="310">
        <f>IFERROR(ROUND(Z153/(Assumptions!$C$7-Assumptions!$C$21),0),0)</f>
        <v>0</v>
      </c>
      <c r="AB153" s="276"/>
      <c r="AC153" s="310">
        <f>IF((AC151+AC152)&gt;0,(AC151+AC152)/Assumptions!$C$57*(1-Assumptions!$C$57),0)</f>
        <v>0</v>
      </c>
      <c r="AD153" s="310">
        <f>IFERROR(ROUND(AC153/(Assumptions!$C$7-Assumptions!$C$21),0),0)</f>
        <v>0</v>
      </c>
      <c r="AE153" s="276"/>
      <c r="AF153" s="310">
        <f>IF((AF151+AF152)&gt;0,(AF151+AF152)/Assumptions!$C$57*(1-Assumptions!$C$57),0)</f>
        <v>2745272.2499999995</v>
      </c>
      <c r="AG153" s="310"/>
      <c r="AH153" s="272"/>
    </row>
    <row r="154" spans="1:34" x14ac:dyDescent="0.35">
      <c r="B154" s="210"/>
      <c r="C154" s="94"/>
      <c r="D154" s="181"/>
      <c r="E154" s="291"/>
      <c r="F154" s="291"/>
      <c r="G154" s="276"/>
      <c r="H154" s="291"/>
      <c r="I154" s="291"/>
      <c r="J154" s="276"/>
      <c r="K154" s="291"/>
      <c r="L154" s="291"/>
      <c r="M154" s="275"/>
      <c r="N154" s="291"/>
      <c r="O154" s="291"/>
      <c r="P154" s="276"/>
      <c r="Q154" s="291"/>
      <c r="R154" s="291"/>
      <c r="S154" s="276"/>
      <c r="T154" s="291"/>
      <c r="U154" s="291"/>
      <c r="V154" s="276"/>
      <c r="W154" s="291"/>
      <c r="X154" s="291"/>
      <c r="Y154" s="276"/>
      <c r="Z154" s="291"/>
      <c r="AA154" s="291"/>
      <c r="AB154" s="276"/>
      <c r="AC154" s="291"/>
      <c r="AD154" s="291"/>
      <c r="AE154" s="276"/>
      <c r="AF154" s="291"/>
      <c r="AG154" s="291"/>
      <c r="AH154" s="272"/>
    </row>
    <row r="155" spans="1:34" x14ac:dyDescent="0.35">
      <c r="B155" s="207"/>
      <c r="E155" s="291"/>
      <c r="F155" s="291"/>
      <c r="G155" s="272"/>
      <c r="H155" s="291"/>
      <c r="I155" s="291"/>
      <c r="J155" s="272"/>
      <c r="K155" s="313"/>
      <c r="L155" s="313"/>
      <c r="M155" s="273"/>
      <c r="N155" s="313"/>
      <c r="O155" s="291"/>
      <c r="P155" s="272"/>
      <c r="Q155" s="313"/>
      <c r="R155" s="291"/>
      <c r="S155" s="272"/>
      <c r="T155" s="313"/>
      <c r="U155" s="291"/>
      <c r="V155" s="272"/>
      <c r="W155" s="313"/>
      <c r="X155" s="291"/>
      <c r="Y155" s="272"/>
      <c r="Z155" s="313"/>
      <c r="AA155" s="291"/>
      <c r="AB155" s="272"/>
      <c r="AC155" s="313"/>
      <c r="AD155" s="291"/>
      <c r="AE155" s="272"/>
      <c r="AF155" s="313"/>
      <c r="AG155" s="291"/>
      <c r="AH155" s="272"/>
    </row>
    <row r="156" spans="1:34" x14ac:dyDescent="0.35">
      <c r="A156" s="75" t="s">
        <v>240</v>
      </c>
      <c r="B156" s="82">
        <f>-B120</f>
        <v>-10955000</v>
      </c>
      <c r="C156" s="316"/>
      <c r="E156" s="310">
        <f>E122+E124</f>
        <v>0</v>
      </c>
      <c r="F156" s="304"/>
      <c r="G156" s="272"/>
      <c r="H156" s="310">
        <f>H122+H124</f>
        <v>477661.53419598902</v>
      </c>
      <c r="I156" s="304"/>
      <c r="J156" s="272"/>
      <c r="K156" s="310">
        <f>K122+K124</f>
        <v>616998.80372806301</v>
      </c>
      <c r="L156" s="304"/>
      <c r="M156" s="273"/>
      <c r="N156" s="310">
        <f>N122+N124</f>
        <v>656283.61246679816</v>
      </c>
      <c r="O156" s="304"/>
      <c r="P156" s="272"/>
      <c r="Q156" s="310">
        <f>Q122+Q124</f>
        <v>720465.06620555185</v>
      </c>
      <c r="R156" s="304"/>
      <c r="S156" s="272"/>
      <c r="T156" s="310">
        <f>T122+T124</f>
        <v>774379.52856968844</v>
      </c>
      <c r="U156" s="304"/>
      <c r="V156" s="272"/>
      <c r="W156" s="310">
        <f>W122+W124</f>
        <v>1234408.5399149957</v>
      </c>
      <c r="X156" s="304"/>
      <c r="Y156" s="272"/>
      <c r="Z156" s="310">
        <f>Z122+Z124</f>
        <v>542048.04587056919</v>
      </c>
      <c r="AA156" s="304"/>
      <c r="AB156" s="272"/>
      <c r="AC156" s="310">
        <f>AC122+AC124</f>
        <v>584459.57896493829</v>
      </c>
      <c r="AD156" s="304"/>
      <c r="AE156" s="272"/>
      <c r="AF156" s="310">
        <f>AF122+AF124</f>
        <v>3173943.5782049657</v>
      </c>
      <c r="AG156" s="304"/>
      <c r="AH156" s="272"/>
    </row>
    <row r="157" spans="1:34" x14ac:dyDescent="0.35">
      <c r="A157" s="75" t="s">
        <v>295</v>
      </c>
      <c r="B157" s="358"/>
      <c r="C157" s="94"/>
      <c r="D157" s="181"/>
      <c r="E157" s="291"/>
      <c r="F157" s="291"/>
      <c r="G157" s="276"/>
      <c r="H157" s="291"/>
      <c r="I157" s="291"/>
      <c r="J157" s="276"/>
      <c r="K157" s="291"/>
      <c r="L157" s="291"/>
      <c r="M157" s="275"/>
      <c r="N157" s="291"/>
      <c r="O157" s="291"/>
      <c r="P157" s="276"/>
      <c r="Q157" s="291"/>
      <c r="R157" s="291"/>
      <c r="S157" s="276"/>
      <c r="T157" s="291"/>
      <c r="U157" s="291"/>
      <c r="V157" s="276"/>
      <c r="W157" s="291"/>
      <c r="X157" s="291"/>
      <c r="Y157" s="276"/>
      <c r="Z157" s="291"/>
      <c r="AA157" s="291"/>
      <c r="AB157" s="276"/>
      <c r="AC157" s="291"/>
      <c r="AD157" s="291"/>
      <c r="AE157" s="276"/>
      <c r="AF157" s="314">
        <f>+AF7*Assumptions!$C$57*(1-AF129)</f>
        <v>586951.7713041876</v>
      </c>
      <c r="AG157" s="291"/>
      <c r="AH157" s="272"/>
    </row>
    <row r="158" spans="1:34" s="248" customFormat="1" x14ac:dyDescent="0.35">
      <c r="A158" s="129" t="s">
        <v>296</v>
      </c>
      <c r="B158" s="359">
        <f>+-B120</f>
        <v>-10955000</v>
      </c>
      <c r="C158" s="352"/>
      <c r="D158" s="353"/>
      <c r="E158" s="354">
        <f>+E156+E142+E148+E151+E157</f>
        <v>0</v>
      </c>
      <c r="F158" s="355"/>
      <c r="G158" s="356"/>
      <c r="H158" s="354">
        <f>+H156+H142+H148+H151+H157</f>
        <v>477661.53419598902</v>
      </c>
      <c r="I158" s="355"/>
      <c r="J158" s="356"/>
      <c r="K158" s="354">
        <f>+K156+K142+K148+K151+K157</f>
        <v>616998.80372806301</v>
      </c>
      <c r="L158" s="355"/>
      <c r="M158" s="357"/>
      <c r="N158" s="354">
        <f>+N156+N142+N148+N151+N157</f>
        <v>656283.61246679816</v>
      </c>
      <c r="O158" s="355"/>
      <c r="P158" s="356"/>
      <c r="Q158" s="354">
        <f>+Q156+Q142+Q148+Q151+Q157</f>
        <v>720465.06620555185</v>
      </c>
      <c r="R158" s="355"/>
      <c r="S158" s="356"/>
      <c r="T158" s="354">
        <f>+T156+T142+T148+T151+T157</f>
        <v>4737234.894781597</v>
      </c>
      <c r="U158" s="355"/>
      <c r="V158" s="356"/>
      <c r="W158" s="354">
        <f>+W156+W142+W148+W151+W157</f>
        <v>1234408.5399149957</v>
      </c>
      <c r="X158" s="355"/>
      <c r="Y158" s="356"/>
      <c r="Z158" s="354">
        <f>+Z156+Z142+Z148+Z151+Z157</f>
        <v>542048.04587056919</v>
      </c>
      <c r="AA158" s="355"/>
      <c r="AB158" s="356"/>
      <c r="AC158" s="354">
        <f>+AC156+AC142+AC148+AC151+AC157</f>
        <v>584459.57896493829</v>
      </c>
      <c r="AD158" s="355"/>
      <c r="AE158" s="356"/>
      <c r="AF158" s="354">
        <f>+AF156+AF142+AF148+AF151+AF157</f>
        <v>14319542.349509154</v>
      </c>
      <c r="AG158" s="355"/>
      <c r="AH158" s="299"/>
    </row>
    <row r="159" spans="1:34" x14ac:dyDescent="0.35">
      <c r="B159" s="94"/>
      <c r="C159" s="94"/>
      <c r="D159" s="181"/>
      <c r="E159" s="94"/>
      <c r="F159" s="94"/>
      <c r="G159" s="181"/>
      <c r="H159" s="94"/>
      <c r="I159" s="94"/>
      <c r="J159" s="181"/>
      <c r="K159" s="94"/>
      <c r="L159" s="94"/>
      <c r="M159" s="176"/>
      <c r="N159" s="94"/>
      <c r="O159" s="94"/>
      <c r="P159" s="181"/>
      <c r="Q159" s="94"/>
      <c r="R159" s="94"/>
      <c r="S159" s="181"/>
      <c r="T159" s="338"/>
      <c r="U159" s="94"/>
      <c r="V159" s="181"/>
      <c r="W159" s="94"/>
      <c r="X159" s="94"/>
      <c r="Y159" s="181"/>
      <c r="Z159" s="94"/>
      <c r="AA159" s="94"/>
      <c r="AB159" s="181"/>
      <c r="AC159" s="94"/>
      <c r="AD159" s="94"/>
      <c r="AE159" s="181"/>
      <c r="AF159" s="94"/>
      <c r="AG159" s="94"/>
    </row>
    <row r="160" spans="1:34" x14ac:dyDescent="0.35">
      <c r="A160" s="75" t="s">
        <v>241</v>
      </c>
      <c r="B160" s="196"/>
      <c r="E160" s="371">
        <f>E121/E120</f>
        <v>0.04</v>
      </c>
      <c r="F160" s="371"/>
      <c r="H160" s="371">
        <f>H121/H120</f>
        <v>0.04</v>
      </c>
      <c r="I160" s="371"/>
      <c r="K160" s="371">
        <f>K121/K120</f>
        <v>0.05</v>
      </c>
      <c r="L160" s="371"/>
      <c r="N160" s="371">
        <f>N121/N120</f>
        <v>0.05</v>
      </c>
      <c r="O160" s="371"/>
      <c r="Q160" s="371">
        <f>IF(Q120&gt;0,Q121/Q120,0)</f>
        <v>6.0000000000000005E-2</v>
      </c>
      <c r="R160" s="371"/>
      <c r="T160" s="371">
        <f>IF(T120&gt;0,T121/T120,0)</f>
        <v>0.06</v>
      </c>
      <c r="U160" s="371"/>
      <c r="W160" s="371">
        <f>IF(W120&gt;0,W121/W120,0)</f>
        <v>0.06</v>
      </c>
      <c r="X160" s="371"/>
      <c r="Z160" s="371">
        <f>IF(Z120&gt;0,Z121/Z120,0)</f>
        <v>5.9999999999999991E-2</v>
      </c>
      <c r="AA160" s="371"/>
      <c r="AC160" s="371">
        <f>IF(AC120&gt;0,AC121/AC120,0)</f>
        <v>6.0000000000000005E-2</v>
      </c>
      <c r="AD160" s="371"/>
      <c r="AF160" s="371">
        <f>IF(AF120&gt;0,AF121/AF120,0)</f>
        <v>0.06</v>
      </c>
      <c r="AG160" s="371"/>
    </row>
    <row r="161" spans="1:34" x14ac:dyDescent="0.35">
      <c r="A161" s="319" t="s">
        <v>51</v>
      </c>
      <c r="B161" s="320">
        <f>IRR(B158:AG158)</f>
        <v>0.10164555101899242</v>
      </c>
    </row>
    <row r="162" spans="1:34" s="326" customFormat="1" x14ac:dyDescent="0.35">
      <c r="A162" s="321" t="s">
        <v>297</v>
      </c>
      <c r="B162" s="321"/>
      <c r="C162" s="321"/>
      <c r="D162" s="322"/>
      <c r="E162" s="323">
        <f>+E156/$B$120</f>
        <v>0</v>
      </c>
      <c r="F162" s="321"/>
      <c r="G162" s="322"/>
      <c r="H162" s="323">
        <f>+H156/$B$120</f>
        <v>4.360214826070187E-2</v>
      </c>
      <c r="I162" s="321"/>
      <c r="J162" s="322"/>
      <c r="K162" s="323">
        <f>+K156/$B$120</f>
        <v>5.6321205269563031E-2</v>
      </c>
      <c r="L162" s="324"/>
      <c r="M162" s="325"/>
      <c r="N162" s="323">
        <f>+N156/$B$120</f>
        <v>5.9907221585285088E-2</v>
      </c>
      <c r="O162" s="321"/>
      <c r="P162" s="322"/>
      <c r="Q162" s="323">
        <f>+Q156/$B$120</f>
        <v>6.5765866381154892E-2</v>
      </c>
      <c r="R162" s="321"/>
      <c r="S162" s="322"/>
      <c r="T162" s="323">
        <f>+T156/$B$120</f>
        <v>7.0687314337716883E-2</v>
      </c>
      <c r="U162" s="321"/>
      <c r="V162" s="322"/>
      <c r="W162" s="323">
        <f>+W156/$B$120</f>
        <v>0.1126799214892739</v>
      </c>
      <c r="X162" s="321"/>
      <c r="Y162" s="322"/>
      <c r="Z162" s="323">
        <f>+Z156/$B$120</f>
        <v>4.9479511261576375E-2</v>
      </c>
      <c r="AA162" s="321"/>
      <c r="AB162" s="322"/>
      <c r="AC162" s="323">
        <f>+AC156/$B$120</f>
        <v>5.3350942853942339E-2</v>
      </c>
      <c r="AD162" s="321"/>
      <c r="AE162" s="322"/>
      <c r="AF162" s="323">
        <f>+AF156/$B$120</f>
        <v>0.28972556624417761</v>
      </c>
      <c r="AG162" s="321"/>
      <c r="AH162" s="322"/>
    </row>
    <row r="164" spans="1:34" x14ac:dyDescent="0.35">
      <c r="A164" s="75" t="s">
        <v>260</v>
      </c>
    </row>
    <row r="165" spans="1:34" x14ac:dyDescent="0.35">
      <c r="A165" s="75" t="s">
        <v>261</v>
      </c>
    </row>
    <row r="167" spans="1:34" x14ac:dyDescent="0.35">
      <c r="E167" s="301"/>
      <c r="H167" s="301"/>
      <c r="K167" s="301"/>
      <c r="N167" s="301"/>
      <c r="Q167" s="301"/>
      <c r="T167" s="301"/>
      <c r="W167" s="301"/>
      <c r="Z167" s="301"/>
      <c r="AC167" s="301"/>
      <c r="AF167" s="301"/>
    </row>
    <row r="168" spans="1:34" x14ac:dyDescent="0.35">
      <c r="E168" s="301"/>
      <c r="H168" s="301"/>
      <c r="K168" s="301"/>
      <c r="N168" s="301"/>
      <c r="Q168" s="301"/>
      <c r="T168" s="301"/>
      <c r="W168" s="301"/>
      <c r="Z168" s="301"/>
      <c r="AC168" s="301"/>
      <c r="AF168" s="301"/>
    </row>
    <row r="169" spans="1:34" x14ac:dyDescent="0.35">
      <c r="E169" s="156"/>
      <c r="H169" s="156"/>
      <c r="K169" s="156"/>
      <c r="N169" s="301"/>
      <c r="Q169" s="301"/>
      <c r="T169" s="301"/>
      <c r="W169" s="301"/>
      <c r="Z169" s="301"/>
      <c r="AC169" s="301"/>
      <c r="AF169" s="301"/>
    </row>
    <row r="170" spans="1:34" x14ac:dyDescent="0.35">
      <c r="E170" s="301"/>
      <c r="H170" s="301"/>
      <c r="K170" s="301"/>
    </row>
    <row r="171" spans="1:34" x14ac:dyDescent="0.35">
      <c r="E171" s="301"/>
    </row>
    <row r="172" spans="1:34" x14ac:dyDescent="0.35">
      <c r="A172" s="196"/>
      <c r="B172" s="206"/>
      <c r="C172" s="301"/>
      <c r="D172" s="272"/>
      <c r="E172" s="156"/>
      <c r="F172" s="301"/>
      <c r="G172" s="272"/>
      <c r="H172" s="301"/>
      <c r="I172" s="301"/>
      <c r="J172" s="272"/>
      <c r="K172" s="302"/>
      <c r="L172" s="302"/>
    </row>
  </sheetData>
  <mergeCells count="99">
    <mergeCell ref="AC80:AD80"/>
    <mergeCell ref="AF80:AG80"/>
    <mergeCell ref="Q79:R79"/>
    <mergeCell ref="T79:U79"/>
    <mergeCell ref="W79:X79"/>
    <mergeCell ref="Z79:AA79"/>
    <mergeCell ref="Q80:R80"/>
    <mergeCell ref="T80:U80"/>
    <mergeCell ref="W80:X80"/>
    <mergeCell ref="Z80:AA80"/>
    <mergeCell ref="W49:X49"/>
    <mergeCell ref="B80:C80"/>
    <mergeCell ref="E80:F80"/>
    <mergeCell ref="H80:I80"/>
    <mergeCell ref="K80:L80"/>
    <mergeCell ref="N80:O80"/>
    <mergeCell ref="B79:C79"/>
    <mergeCell ref="E79:F79"/>
    <mergeCell ref="H79:I79"/>
    <mergeCell ref="K79:L79"/>
    <mergeCell ref="N79:O79"/>
    <mergeCell ref="B48:C48"/>
    <mergeCell ref="E48:F48"/>
    <mergeCell ref="B49:C49"/>
    <mergeCell ref="W3:X3"/>
    <mergeCell ref="W4:X4"/>
    <mergeCell ref="B3:C3"/>
    <mergeCell ref="B4:C4"/>
    <mergeCell ref="E3:F3"/>
    <mergeCell ref="E4:F4"/>
    <mergeCell ref="H3:I3"/>
    <mergeCell ref="H4:I4"/>
    <mergeCell ref="K3:L3"/>
    <mergeCell ref="K4:L4"/>
    <mergeCell ref="N3:O3"/>
    <mergeCell ref="N4:O4"/>
    <mergeCell ref="Q3:R3"/>
    <mergeCell ref="AF2:AG2"/>
    <mergeCell ref="AC3:AD3"/>
    <mergeCell ref="AC4:AD4"/>
    <mergeCell ref="AF3:AG3"/>
    <mergeCell ref="AF4:AG4"/>
    <mergeCell ref="Q4:R4"/>
    <mergeCell ref="T3:U3"/>
    <mergeCell ref="T4:U4"/>
    <mergeCell ref="E49:F49"/>
    <mergeCell ref="Z3:AA3"/>
    <mergeCell ref="Z4:AA4"/>
    <mergeCell ref="H48:I48"/>
    <mergeCell ref="H49:I49"/>
    <mergeCell ref="K48:L48"/>
    <mergeCell ref="N48:O48"/>
    <mergeCell ref="Q48:R48"/>
    <mergeCell ref="K49:L49"/>
    <mergeCell ref="N49:O49"/>
    <mergeCell ref="Q49:R49"/>
    <mergeCell ref="T48:U48"/>
    <mergeCell ref="W48:X48"/>
    <mergeCell ref="Z48:AA48"/>
    <mergeCell ref="AC48:AD48"/>
    <mergeCell ref="AF48:AG48"/>
    <mergeCell ref="T160:U160"/>
    <mergeCell ref="W160:X160"/>
    <mergeCell ref="Z160:AA160"/>
    <mergeCell ref="AC160:AD160"/>
    <mergeCell ref="AF160:AG160"/>
    <mergeCell ref="AF108:AG108"/>
    <mergeCell ref="AF109:AG109"/>
    <mergeCell ref="Z49:AA49"/>
    <mergeCell ref="AC49:AD49"/>
    <mergeCell ref="AF49:AG49"/>
    <mergeCell ref="AC79:AD79"/>
    <mergeCell ref="AF79:AG79"/>
    <mergeCell ref="T49:U49"/>
    <mergeCell ref="E160:F160"/>
    <mergeCell ref="H160:I160"/>
    <mergeCell ref="K160:L160"/>
    <mergeCell ref="N160:O160"/>
    <mergeCell ref="Q160:R160"/>
    <mergeCell ref="B109:C109"/>
    <mergeCell ref="E109:F109"/>
    <mergeCell ref="H109:I109"/>
    <mergeCell ref="K109:L109"/>
    <mergeCell ref="N109:O109"/>
    <mergeCell ref="Q109:R109"/>
    <mergeCell ref="T109:U109"/>
    <mergeCell ref="W109:X109"/>
    <mergeCell ref="Z109:AA109"/>
    <mergeCell ref="AC109:AD109"/>
    <mergeCell ref="Q108:R108"/>
    <mergeCell ref="T108:U108"/>
    <mergeCell ref="W108:X108"/>
    <mergeCell ref="Z108:AA108"/>
    <mergeCell ref="AC108:AD108"/>
    <mergeCell ref="B108:C108"/>
    <mergeCell ref="E108:F108"/>
    <mergeCell ref="H108:I108"/>
    <mergeCell ref="K108:L108"/>
    <mergeCell ref="N108:O108"/>
  </mergeCells>
  <pageMargins left="0.7" right="0.7" top="0.75" bottom="0.75" header="0.3" footer="0.3"/>
  <pageSetup paperSize="5" scale="32" orientation="landscape" blackAndWhite="1" r:id="rId1"/>
  <ignoredErrors>
    <ignoredError sqref="AE63 F61:G61 F63:G63 AG63 F62:P62 S62 U62:V62 X62:Y62 AA62:AB62 AA63:AB63 AE62 AG62 R61:S61 S63 AA68 X67:X68 I63:J63 L63:M63 O63:P63 U63:V63 X63:Y63 F67 R62:R67 U67 O67 I61:J61 L61:M61 O61:P61 U61:V61 X61:Y61 AA61:AB61 AD61:AE61 AG6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5CBA6-FB70-459A-AB77-4B3654C195BA}">
  <sheetPr>
    <tabColor theme="5" tint="0.59999389629810485"/>
  </sheetPr>
  <dimension ref="A1:S34"/>
  <sheetViews>
    <sheetView workbookViewId="0">
      <selection activeCell="G8" sqref="G8"/>
    </sheetView>
  </sheetViews>
  <sheetFormatPr defaultColWidth="9" defaultRowHeight="15.5" x14ac:dyDescent="0.35"/>
  <cols>
    <col min="1" max="1" width="28.61328125" style="74" bestFit="1" customWidth="1"/>
    <col min="2" max="7" width="20.61328125" style="74" customWidth="1"/>
    <col min="8" max="8" width="18.61328125" style="74" bestFit="1" customWidth="1"/>
    <col min="9" max="10" width="13.84375" style="74" bestFit="1" customWidth="1"/>
    <col min="11" max="11" width="12.3828125" style="74" bestFit="1" customWidth="1"/>
    <col min="12" max="18" width="13.61328125" style="74" bestFit="1" customWidth="1"/>
    <col min="19" max="19" width="15.61328125" style="74" bestFit="1" customWidth="1"/>
    <col min="20" max="16384" width="9" style="74"/>
  </cols>
  <sheetData>
    <row r="1" spans="1:19" x14ac:dyDescent="0.35">
      <c r="A1" s="127" t="str">
        <f>Assumptions!A1</f>
        <v>C5 Farming, LLC</v>
      </c>
      <c r="H1" s="96"/>
      <c r="I1" s="95" t="s">
        <v>70</v>
      </c>
      <c r="J1" s="95"/>
    </row>
    <row r="2" spans="1:19" x14ac:dyDescent="0.35">
      <c r="A2" s="128" t="s">
        <v>275</v>
      </c>
      <c r="H2" s="97"/>
      <c r="I2" s="95" t="s">
        <v>71</v>
      </c>
      <c r="J2" s="95"/>
    </row>
    <row r="3" spans="1:19" x14ac:dyDescent="0.35">
      <c r="A3" s="127" t="str">
        <f>Assumptions!A3</f>
        <v>As of November 1, 2021</v>
      </c>
    </row>
    <row r="4" spans="1:19" x14ac:dyDescent="0.35">
      <c r="A4" s="129"/>
    </row>
    <row r="5" spans="1:19" x14ac:dyDescent="0.35">
      <c r="A5" s="226" t="s">
        <v>284</v>
      </c>
    </row>
    <row r="6" spans="1:19" x14ac:dyDescent="0.35">
      <c r="B6" s="376" t="s">
        <v>279</v>
      </c>
      <c r="C6" s="377" t="s">
        <v>277</v>
      </c>
      <c r="D6" s="376" t="s">
        <v>280</v>
      </c>
      <c r="E6" s="376" t="s">
        <v>282</v>
      </c>
      <c r="F6" s="378" t="s">
        <v>283</v>
      </c>
    </row>
    <row r="7" spans="1:19" x14ac:dyDescent="0.35">
      <c r="A7" s="219" t="s">
        <v>278</v>
      </c>
      <c r="B7" s="376"/>
      <c r="C7" s="377"/>
      <c r="D7" s="376"/>
      <c r="E7" s="376"/>
      <c r="F7" s="378"/>
      <c r="G7" s="219"/>
    </row>
    <row r="8" spans="1:19" x14ac:dyDescent="0.35">
      <c r="A8" s="217">
        <v>1</v>
      </c>
      <c r="B8" s="199">
        <f>IF(A8&lt;=Assumptions!$C$61,2,1)</f>
        <v>2</v>
      </c>
      <c r="C8" s="200">
        <f>IF(A8&lt;=Assumptions!$C$61,Assumptions!$C$62,0)</f>
        <v>0.75</v>
      </c>
      <c r="D8" s="225">
        <f>Assumptions!$C$60</f>
        <v>400</v>
      </c>
      <c r="E8" s="225">
        <f>IF(A8&gt;=Assumptions!$C$19+1,Assumptions!$C$9-Assumptions!$C$20,Assumptions!$C$9)</f>
        <v>407</v>
      </c>
      <c r="F8" s="215">
        <f>(D8*E8)*(1-C8)</f>
        <v>40700</v>
      </c>
      <c r="G8" s="219"/>
      <c r="I8" s="340"/>
      <c r="J8" s="340"/>
      <c r="K8" s="340"/>
      <c r="L8" s="340"/>
      <c r="M8" s="340"/>
      <c r="N8" s="340"/>
      <c r="O8" s="340"/>
      <c r="P8" s="340"/>
      <c r="Q8" s="340"/>
      <c r="R8" s="340"/>
    </row>
    <row r="9" spans="1:19" x14ac:dyDescent="0.35">
      <c r="A9" s="217">
        <v>2</v>
      </c>
      <c r="B9" s="199">
        <f>IF(A9&lt;=Assumptions!$C$61,2,1)</f>
        <v>2</v>
      </c>
      <c r="C9" s="200">
        <f>IF(A9&lt;=Assumptions!$C$61,Assumptions!$C$62,0)</f>
        <v>0.75</v>
      </c>
      <c r="D9" s="225">
        <f>ROUND(IF(Assumptions!$C$63=1,'Management Struture'!D8*(1+Assumptions!$B$95),'Management Struture'!D8),2)</f>
        <v>400</v>
      </c>
      <c r="E9" s="225">
        <f>IF(A9&gt;=Assumptions!$C$19+1,Assumptions!$C$9-Assumptions!$C$20,Assumptions!$C$9)</f>
        <v>407</v>
      </c>
      <c r="F9" s="215">
        <f t="shared" ref="F9:F17" si="0">(D9*E9)*(1-C9)</f>
        <v>40700</v>
      </c>
      <c r="G9" s="219"/>
      <c r="I9" s="342"/>
      <c r="J9" s="342"/>
      <c r="K9" s="342"/>
      <c r="L9" s="342"/>
      <c r="M9" s="342"/>
      <c r="N9" s="342"/>
      <c r="O9" s="342"/>
      <c r="P9" s="342"/>
      <c r="Q9" s="342"/>
      <c r="R9" s="342"/>
      <c r="S9" s="341"/>
    </row>
    <row r="10" spans="1:19" x14ac:dyDescent="0.35">
      <c r="A10" s="217">
        <v>3</v>
      </c>
      <c r="B10" s="199">
        <f>IF(A10&lt;=Assumptions!$C$61,2,1)</f>
        <v>2</v>
      </c>
      <c r="C10" s="200">
        <f>IF(A10&lt;=Assumptions!$C$61,Assumptions!$C$62,0)</f>
        <v>0.75</v>
      </c>
      <c r="D10" s="199">
        <f>ROUND(IF(Assumptions!$C$63=1,'Management Struture'!D9*(1+Assumptions!$B$95),'Management Struture'!D9),2)</f>
        <v>400</v>
      </c>
      <c r="E10" s="225">
        <f>IF(A10&gt;=Assumptions!$C$19+1,Assumptions!$C$9-Assumptions!$C$20,Assumptions!$C$9)</f>
        <v>407</v>
      </c>
      <c r="F10" s="215">
        <f t="shared" si="0"/>
        <v>40700</v>
      </c>
      <c r="G10" s="219"/>
      <c r="I10" s="343"/>
      <c r="J10" s="343"/>
      <c r="K10" s="343"/>
      <c r="L10" s="343"/>
      <c r="M10" s="343"/>
      <c r="N10" s="343"/>
      <c r="O10" s="343"/>
      <c r="P10" s="343"/>
      <c r="Q10" s="343"/>
      <c r="R10" s="343"/>
      <c r="S10" s="341"/>
    </row>
    <row r="11" spans="1:19" x14ac:dyDescent="0.35">
      <c r="A11" s="217">
        <v>4</v>
      </c>
      <c r="B11" s="199">
        <f>IF(A11&lt;=Assumptions!$C$61,2,1)</f>
        <v>1</v>
      </c>
      <c r="C11" s="200">
        <f>IF(A11&lt;=Assumptions!$C$61,Assumptions!$C$62,0)</f>
        <v>0</v>
      </c>
      <c r="D11" s="199">
        <f>ROUND(IF(Assumptions!$C$63=1,'Management Struture'!D10*(1+Assumptions!$B$95),'Management Struture'!D10),2)</f>
        <v>400</v>
      </c>
      <c r="E11" s="225">
        <f>IF(A11&gt;=Assumptions!$C$19+1,Assumptions!$C$9-Assumptions!$C$20,Assumptions!$C$9)</f>
        <v>407</v>
      </c>
      <c r="F11" s="215">
        <f t="shared" si="0"/>
        <v>162800</v>
      </c>
      <c r="G11" s="219"/>
      <c r="I11" s="344"/>
      <c r="J11" s="344"/>
      <c r="K11" s="344"/>
      <c r="L11" s="344"/>
      <c r="M11" s="344"/>
      <c r="N11" s="344"/>
      <c r="O11" s="344"/>
      <c r="P11" s="344"/>
      <c r="Q11" s="344"/>
      <c r="R11" s="344"/>
      <c r="S11" s="341"/>
    </row>
    <row r="12" spans="1:19" x14ac:dyDescent="0.35">
      <c r="A12" s="217">
        <v>5</v>
      </c>
      <c r="B12" s="199">
        <f>IF(A12&lt;=Assumptions!$C$61,2,1)</f>
        <v>1</v>
      </c>
      <c r="C12" s="200">
        <f>IF(A12&lt;=Assumptions!$C$61,Assumptions!$C$62,0)</f>
        <v>0</v>
      </c>
      <c r="D12" s="199">
        <f>ROUND(IF(Assumptions!$C$63=1,'Management Struture'!D11*(1+Assumptions!$B$95),'Management Struture'!D11),2)</f>
        <v>400</v>
      </c>
      <c r="E12" s="225">
        <f>IF(A12&gt;=Assumptions!$C$19+1,Assumptions!$C$9-Assumptions!$C$20,Assumptions!$C$9)</f>
        <v>407</v>
      </c>
      <c r="F12" s="215">
        <f t="shared" si="0"/>
        <v>162800</v>
      </c>
      <c r="G12" s="219"/>
      <c r="I12" s="344"/>
      <c r="J12" s="344"/>
      <c r="K12" s="344"/>
      <c r="L12" s="344"/>
      <c r="M12" s="344"/>
      <c r="N12" s="344"/>
      <c r="O12" s="344"/>
      <c r="P12" s="344"/>
      <c r="Q12" s="344"/>
      <c r="R12" s="344"/>
      <c r="S12" s="341"/>
    </row>
    <row r="13" spans="1:19" x14ac:dyDescent="0.35">
      <c r="A13" s="217">
        <v>6</v>
      </c>
      <c r="B13" s="199">
        <f>IF(A13&lt;=Assumptions!$C$61,2,1)</f>
        <v>1</v>
      </c>
      <c r="C13" s="200">
        <f>IF(A13&lt;=Assumptions!$C$61,Assumptions!$C$62,0)</f>
        <v>0</v>
      </c>
      <c r="D13" s="199">
        <f>ROUND(IF(Assumptions!$C$63=1,'Management Struture'!D12*(1+Assumptions!$B$95),'Management Struture'!D12),2)</f>
        <v>400</v>
      </c>
      <c r="E13" s="225">
        <f>IF(A13&gt;=Assumptions!$C$19+1,Assumptions!$C$9-Assumptions!$C$20,Assumptions!$C$9)</f>
        <v>407</v>
      </c>
      <c r="F13" s="215">
        <f t="shared" si="0"/>
        <v>162800</v>
      </c>
      <c r="G13" s="219"/>
      <c r="I13" s="344"/>
      <c r="J13" s="344"/>
      <c r="K13" s="344"/>
      <c r="L13" s="344"/>
      <c r="M13" s="344"/>
      <c r="N13" s="344"/>
      <c r="O13" s="344"/>
      <c r="P13" s="344"/>
      <c r="Q13" s="344"/>
      <c r="R13" s="344"/>
      <c r="S13" s="341"/>
    </row>
    <row r="14" spans="1:19" x14ac:dyDescent="0.35">
      <c r="A14" s="217">
        <v>7</v>
      </c>
      <c r="B14" s="199">
        <f>IF(A14&lt;=Assumptions!$C$61,2,1)</f>
        <v>1</v>
      </c>
      <c r="C14" s="200">
        <f>IF(A14&lt;=Assumptions!$C$61,Assumptions!$C$62,0)</f>
        <v>0</v>
      </c>
      <c r="D14" s="199">
        <f>ROUND(IF(Assumptions!$C$63=1,'Management Struture'!D13*(1+Assumptions!$B$95),'Management Struture'!D13),2)</f>
        <v>400</v>
      </c>
      <c r="E14" s="225">
        <f>IF(A14&gt;=Assumptions!$C$19+1,Assumptions!$C$9-Assumptions!$C$20,Assumptions!$C$9)</f>
        <v>287</v>
      </c>
      <c r="F14" s="215">
        <f t="shared" si="0"/>
        <v>114800</v>
      </c>
      <c r="G14" s="219"/>
      <c r="I14" s="344"/>
      <c r="J14" s="344"/>
      <c r="K14" s="344"/>
      <c r="L14" s="344"/>
      <c r="M14" s="344"/>
      <c r="N14" s="344"/>
      <c r="O14" s="344"/>
      <c r="P14" s="344"/>
      <c r="Q14" s="344"/>
      <c r="R14" s="344"/>
      <c r="S14" s="341"/>
    </row>
    <row r="15" spans="1:19" x14ac:dyDescent="0.35">
      <c r="A15" s="217">
        <v>8</v>
      </c>
      <c r="B15" s="199">
        <f>IF(A15&lt;=Assumptions!$C$61,2,1)</f>
        <v>1</v>
      </c>
      <c r="C15" s="200">
        <f>IF(A15&lt;=Assumptions!$C$61,Assumptions!$C$62,0)</f>
        <v>0</v>
      </c>
      <c r="D15" s="199">
        <f>ROUND(IF(Assumptions!$C$63=1,'Management Struture'!D14*(1+Assumptions!$B$95),'Management Struture'!D14),2)</f>
        <v>400</v>
      </c>
      <c r="E15" s="225">
        <f>IF(A15&gt;=Assumptions!$C$19+1,Assumptions!$C$9-Assumptions!$C$20,Assumptions!$C$9)</f>
        <v>287</v>
      </c>
      <c r="F15" s="215">
        <f t="shared" si="0"/>
        <v>114800</v>
      </c>
      <c r="G15" s="219"/>
      <c r="I15" s="345"/>
      <c r="J15" s="345"/>
      <c r="K15" s="345"/>
      <c r="L15" s="345"/>
      <c r="M15" s="345"/>
      <c r="N15" s="345"/>
      <c r="O15" s="345"/>
      <c r="P15" s="345"/>
      <c r="Q15" s="345"/>
      <c r="R15" s="345"/>
      <c r="S15" s="341"/>
    </row>
    <row r="16" spans="1:19" x14ac:dyDescent="0.35">
      <c r="A16" s="217">
        <v>9</v>
      </c>
      <c r="B16" s="199">
        <f>IF(A16&lt;=Assumptions!$C$61,2,1)</f>
        <v>1</v>
      </c>
      <c r="C16" s="200">
        <f>IF(A16&lt;=Assumptions!$C$61,Assumptions!$C$62,0)</f>
        <v>0</v>
      </c>
      <c r="D16" s="199">
        <f>ROUND(IF(Assumptions!$C$63=1,'Management Struture'!D15*(1+Assumptions!$B$95),'Management Struture'!D15),2)</f>
        <v>400</v>
      </c>
      <c r="E16" s="225">
        <f>IF(A16&gt;=Assumptions!$C$19+1,Assumptions!$C$9-Assumptions!$C$20,Assumptions!$C$9)</f>
        <v>287</v>
      </c>
      <c r="F16" s="215">
        <f t="shared" si="0"/>
        <v>114800</v>
      </c>
      <c r="G16" s="219"/>
      <c r="I16" s="345"/>
      <c r="J16" s="345"/>
      <c r="K16" s="345"/>
      <c r="L16" s="345"/>
      <c r="M16" s="345"/>
      <c r="N16" s="345"/>
      <c r="O16" s="345"/>
      <c r="P16" s="345"/>
      <c r="Q16" s="345"/>
      <c r="R16" s="345"/>
      <c r="S16" s="341"/>
    </row>
    <row r="17" spans="1:19" x14ac:dyDescent="0.35">
      <c r="A17" s="217">
        <v>10</v>
      </c>
      <c r="B17" s="199">
        <f>IF(A17&lt;=Assumptions!$C$61,2,1)</f>
        <v>1</v>
      </c>
      <c r="C17" s="200">
        <f>IF(A17&lt;=Assumptions!$C$61,Assumptions!$C$62,0)</f>
        <v>0</v>
      </c>
      <c r="D17" s="199">
        <f>ROUND(IF(Assumptions!$C$63=1,'Management Struture'!D16*(1+Assumptions!$B$95),'Management Struture'!D16),2)</f>
        <v>400</v>
      </c>
      <c r="E17" s="225">
        <f>IF(A17&gt;=Assumptions!$C$19+1,Assumptions!$C$9-Assumptions!$C$20,Assumptions!$C$9)</f>
        <v>287</v>
      </c>
      <c r="F17" s="215">
        <f t="shared" si="0"/>
        <v>114800</v>
      </c>
      <c r="G17" s="219"/>
      <c r="I17" s="344"/>
      <c r="J17" s="344"/>
      <c r="K17" s="344"/>
      <c r="L17" s="344"/>
      <c r="M17" s="344"/>
      <c r="N17" s="344"/>
      <c r="O17" s="344"/>
      <c r="P17" s="344"/>
      <c r="Q17" s="344"/>
      <c r="R17" s="344"/>
      <c r="S17" s="341"/>
    </row>
    <row r="18" spans="1:19" x14ac:dyDescent="0.35">
      <c r="A18" s="220"/>
      <c r="B18" s="221"/>
      <c r="C18" s="221"/>
      <c r="D18" s="223"/>
      <c r="E18" s="223"/>
      <c r="F18" s="223"/>
      <c r="G18" s="224"/>
      <c r="I18" s="341"/>
      <c r="J18" s="341"/>
      <c r="K18" s="341"/>
      <c r="L18" s="341"/>
      <c r="M18" s="341"/>
      <c r="N18" s="341"/>
      <c r="O18" s="341"/>
      <c r="P18" s="341"/>
      <c r="Q18" s="341"/>
      <c r="R18" s="341"/>
      <c r="S18" s="341"/>
    </row>
    <row r="19" spans="1:19" x14ac:dyDescent="0.35">
      <c r="A19" s="226" t="s">
        <v>285</v>
      </c>
      <c r="I19" s="341"/>
      <c r="J19" s="341"/>
      <c r="K19" s="341"/>
      <c r="L19" s="341"/>
      <c r="M19" s="341"/>
      <c r="N19" s="341"/>
      <c r="O19" s="341"/>
      <c r="P19" s="341"/>
      <c r="Q19" s="341"/>
      <c r="R19" s="341"/>
      <c r="S19" s="341"/>
    </row>
    <row r="20" spans="1:19" x14ac:dyDescent="0.35">
      <c r="B20" s="376" t="s">
        <v>279</v>
      </c>
      <c r="C20" s="377" t="s">
        <v>277</v>
      </c>
      <c r="D20" s="376" t="s">
        <v>280</v>
      </c>
      <c r="E20" s="376" t="s">
        <v>282</v>
      </c>
      <c r="F20" s="378" t="s">
        <v>283</v>
      </c>
      <c r="I20" s="341"/>
      <c r="J20" s="341"/>
      <c r="K20" s="341"/>
      <c r="L20" s="341"/>
      <c r="M20" s="341"/>
      <c r="N20" s="341"/>
      <c r="O20" s="341"/>
      <c r="P20" s="341"/>
      <c r="Q20" s="341"/>
      <c r="R20" s="341"/>
      <c r="S20" s="341"/>
    </row>
    <row r="21" spans="1:19" x14ac:dyDescent="0.35">
      <c r="A21" s="219" t="s">
        <v>278</v>
      </c>
      <c r="B21" s="376"/>
      <c r="C21" s="377"/>
      <c r="D21" s="376"/>
      <c r="E21" s="376"/>
      <c r="F21" s="378"/>
      <c r="I21" s="341"/>
      <c r="J21" s="341"/>
      <c r="K21" s="341"/>
      <c r="L21" s="341"/>
      <c r="M21" s="341"/>
      <c r="N21" s="341"/>
      <c r="O21" s="341"/>
      <c r="P21" s="341"/>
      <c r="Q21" s="341"/>
      <c r="R21" s="341"/>
      <c r="S21" s="341"/>
    </row>
    <row r="22" spans="1:19" x14ac:dyDescent="0.35">
      <c r="A22" s="217">
        <v>1</v>
      </c>
      <c r="B22" s="199">
        <f>IF(A22&lt;=Assumptions!$C$61,2,1)</f>
        <v>2</v>
      </c>
      <c r="C22" s="200">
        <f>IF(A22&lt;=Assumptions!$C$61,Assumptions!$C$62,0)</f>
        <v>0.75</v>
      </c>
      <c r="D22" s="225">
        <f>Assumptions!$C$60</f>
        <v>400</v>
      </c>
      <c r="E22" s="225">
        <f>Assumptions!$C$10</f>
        <v>80</v>
      </c>
      <c r="F22" s="215">
        <f>(D22*E22)*(1-C22)</f>
        <v>8000</v>
      </c>
      <c r="G22" s="219"/>
    </row>
    <row r="23" spans="1:19" x14ac:dyDescent="0.35">
      <c r="A23" s="217">
        <v>2</v>
      </c>
      <c r="B23" s="199">
        <f>IF(A23&lt;=Assumptions!$C$61,2,1)</f>
        <v>2</v>
      </c>
      <c r="C23" s="200">
        <f>IF(A23&lt;=Assumptions!$C$61,Assumptions!$C$62,0)</f>
        <v>0.75</v>
      </c>
      <c r="D23" s="225">
        <f>ROUND(IF(Assumptions!$C$63=1,'Management Struture'!D22*(1+Assumptions!$B$95),'Management Struture'!D22),2)</f>
        <v>400</v>
      </c>
      <c r="E23" s="225">
        <f>Assumptions!$C$10</f>
        <v>80</v>
      </c>
      <c r="F23" s="215">
        <f t="shared" ref="F23:F31" si="1">(D23*E23)*(1-C23)</f>
        <v>8000</v>
      </c>
      <c r="G23" s="219"/>
    </row>
    <row r="24" spans="1:19" x14ac:dyDescent="0.35">
      <c r="A24" s="217">
        <v>3</v>
      </c>
      <c r="B24" s="199">
        <f>IF(A24&lt;=Assumptions!$C$61,2,1)</f>
        <v>2</v>
      </c>
      <c r="C24" s="200">
        <f>IF(A24&lt;=Assumptions!$C$61,Assumptions!$C$62,0)</f>
        <v>0.75</v>
      </c>
      <c r="D24" s="199">
        <f>ROUND(IF(Assumptions!$C$63=1,'Management Struture'!D23*(1+Assumptions!$B$95),'Management Struture'!D23),2)</f>
        <v>400</v>
      </c>
      <c r="E24" s="225">
        <f>Assumptions!$C$10</f>
        <v>80</v>
      </c>
      <c r="F24" s="215">
        <f t="shared" si="1"/>
        <v>8000</v>
      </c>
      <c r="G24" s="219"/>
    </row>
    <row r="25" spans="1:19" x14ac:dyDescent="0.35">
      <c r="A25" s="217">
        <v>4</v>
      </c>
      <c r="B25" s="199">
        <f>IF(A25&lt;=Assumptions!$C$61,2,1)</f>
        <v>1</v>
      </c>
      <c r="C25" s="200">
        <f>IF(A25&lt;=Assumptions!$C$61,Assumptions!$C$62,0)</f>
        <v>0</v>
      </c>
      <c r="D25" s="199">
        <f>ROUND(IF(Assumptions!$C$63=1,'Management Struture'!D24*(1+Assumptions!$B$95),'Management Struture'!D24),2)</f>
        <v>400</v>
      </c>
      <c r="E25" s="225">
        <f>Assumptions!$C$10</f>
        <v>80</v>
      </c>
      <c r="F25" s="215">
        <f t="shared" si="1"/>
        <v>32000</v>
      </c>
      <c r="G25" s="219"/>
    </row>
    <row r="26" spans="1:19" x14ac:dyDescent="0.35">
      <c r="A26" s="217">
        <v>5</v>
      </c>
      <c r="B26" s="199">
        <f>IF(A26&lt;=Assumptions!$C$61,2,1)</f>
        <v>1</v>
      </c>
      <c r="C26" s="200">
        <f>IF(A26&lt;=Assumptions!$C$61,Assumptions!$C$62,0)</f>
        <v>0</v>
      </c>
      <c r="D26" s="199">
        <f>ROUND(IF(Assumptions!$C$63=1,'Management Struture'!D25*(1+Assumptions!$B$95),'Management Struture'!D25),2)</f>
        <v>400</v>
      </c>
      <c r="E26" s="225">
        <f>Assumptions!$C$10</f>
        <v>80</v>
      </c>
      <c r="F26" s="215">
        <f t="shared" si="1"/>
        <v>32000</v>
      </c>
      <c r="G26" s="219"/>
    </row>
    <row r="27" spans="1:19" x14ac:dyDescent="0.35">
      <c r="A27" s="217">
        <v>6</v>
      </c>
      <c r="B27" s="199">
        <f>IF(A27&lt;=Assumptions!$C$61,2,1)</f>
        <v>1</v>
      </c>
      <c r="C27" s="200">
        <f>IF(A27&lt;=Assumptions!$C$61,Assumptions!$C$62,0)</f>
        <v>0</v>
      </c>
      <c r="D27" s="199">
        <f>ROUND(IF(Assumptions!$C$63=1,'Management Struture'!D26*(1+Assumptions!$B$95),'Management Struture'!D26),2)</f>
        <v>400</v>
      </c>
      <c r="E27" s="225">
        <f>Assumptions!$C$10</f>
        <v>80</v>
      </c>
      <c r="F27" s="215">
        <f t="shared" si="1"/>
        <v>32000</v>
      </c>
      <c r="G27" s="219"/>
    </row>
    <row r="28" spans="1:19" x14ac:dyDescent="0.35">
      <c r="A28" s="217">
        <v>7</v>
      </c>
      <c r="B28" s="199">
        <f>IF(A28&lt;=Assumptions!$C$61,2,1)</f>
        <v>1</v>
      </c>
      <c r="C28" s="200">
        <f>IF(A28&lt;=Assumptions!$C$61,Assumptions!$C$62,0)</f>
        <v>0</v>
      </c>
      <c r="D28" s="199">
        <f>ROUND(IF(Assumptions!$C$63=1,'Management Struture'!D27*(1+Assumptions!$B$95),'Management Struture'!D27),2)</f>
        <v>400</v>
      </c>
      <c r="E28" s="225">
        <f>Assumptions!$C$10</f>
        <v>80</v>
      </c>
      <c r="F28" s="215">
        <f t="shared" si="1"/>
        <v>32000</v>
      </c>
      <c r="G28" s="219"/>
    </row>
    <row r="29" spans="1:19" x14ac:dyDescent="0.35">
      <c r="A29" s="217">
        <v>8</v>
      </c>
      <c r="B29" s="199">
        <f>IF(A29&lt;=Assumptions!$C$61,2,1)</f>
        <v>1</v>
      </c>
      <c r="C29" s="200">
        <f>IF(A29&lt;=Assumptions!$C$61,Assumptions!$C$62,0)</f>
        <v>0</v>
      </c>
      <c r="D29" s="199">
        <f>ROUND(IF(Assumptions!$C$63=1,'Management Struture'!D28*(1+Assumptions!$B$95),'Management Struture'!D28),2)</f>
        <v>400</v>
      </c>
      <c r="E29" s="225">
        <f>Assumptions!$C$10</f>
        <v>80</v>
      </c>
      <c r="F29" s="215">
        <f t="shared" si="1"/>
        <v>32000</v>
      </c>
      <c r="G29" s="219"/>
    </row>
    <row r="30" spans="1:19" x14ac:dyDescent="0.35">
      <c r="A30" s="217">
        <v>9</v>
      </c>
      <c r="B30" s="199">
        <f>IF(A30&lt;=Assumptions!$C$61,2,1)</f>
        <v>1</v>
      </c>
      <c r="C30" s="200">
        <f>IF(A30&lt;=Assumptions!$C$61,Assumptions!$C$62,0)</f>
        <v>0</v>
      </c>
      <c r="D30" s="199">
        <f>ROUND(IF(Assumptions!$C$63=1,'Management Struture'!D29*(1+Assumptions!$B$95),'Management Struture'!D29),2)</f>
        <v>400</v>
      </c>
      <c r="E30" s="225">
        <f>Assumptions!$C$10</f>
        <v>80</v>
      </c>
      <c r="F30" s="215">
        <f t="shared" si="1"/>
        <v>32000</v>
      </c>
      <c r="G30" s="219"/>
    </row>
    <row r="31" spans="1:19" x14ac:dyDescent="0.35">
      <c r="A31" s="217">
        <v>10</v>
      </c>
      <c r="B31" s="199">
        <f>IF(A31&lt;=Assumptions!$C$61,2,1)</f>
        <v>1</v>
      </c>
      <c r="C31" s="200">
        <f>IF(A31&lt;=Assumptions!$C$61,Assumptions!$C$62,0)</f>
        <v>0</v>
      </c>
      <c r="D31" s="199">
        <f>ROUND(IF(Assumptions!$C$63=1,'Management Struture'!D30*(1+Assumptions!$B$95),'Management Struture'!D30),2)</f>
        <v>400</v>
      </c>
      <c r="E31" s="225">
        <f>Assumptions!$C$10</f>
        <v>80</v>
      </c>
      <c r="F31" s="215">
        <f t="shared" si="1"/>
        <v>32000</v>
      </c>
      <c r="G31" s="219"/>
    </row>
    <row r="34" spans="6:6" x14ac:dyDescent="0.35">
      <c r="F34" s="339"/>
    </row>
  </sheetData>
  <mergeCells count="10">
    <mergeCell ref="B6:B7"/>
    <mergeCell ref="C6:C7"/>
    <mergeCell ref="D6:D7"/>
    <mergeCell ref="F6:F7"/>
    <mergeCell ref="E6:E7"/>
    <mergeCell ref="B20:B21"/>
    <mergeCell ref="C20:C21"/>
    <mergeCell ref="D20:D21"/>
    <mergeCell ref="E20:E21"/>
    <mergeCell ref="F20:F2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20A3A-9854-41C3-93D9-69FA71737F76}">
  <sheetPr>
    <tabColor theme="5" tint="0.59999389629810485"/>
  </sheetPr>
  <dimension ref="A1:G31"/>
  <sheetViews>
    <sheetView workbookViewId="0">
      <selection activeCell="A34" sqref="A34"/>
    </sheetView>
  </sheetViews>
  <sheetFormatPr defaultColWidth="8.84375" defaultRowHeight="13.5" x14ac:dyDescent="0.3"/>
  <cols>
    <col min="1" max="1" width="26.15234375" bestFit="1" customWidth="1"/>
    <col min="2" max="4" width="20.61328125" customWidth="1"/>
  </cols>
  <sheetData>
    <row r="1" spans="1:7" ht="15.5" x14ac:dyDescent="0.35">
      <c r="A1" s="127" t="str">
        <f>Assumptions!A1</f>
        <v>C5 Farming, LLC</v>
      </c>
      <c r="B1" s="74"/>
      <c r="C1" s="74"/>
      <c r="D1" s="74"/>
      <c r="E1" s="74"/>
      <c r="F1" s="96"/>
      <c r="G1" s="95" t="s">
        <v>70</v>
      </c>
    </row>
    <row r="2" spans="1:7" ht="15.5" x14ac:dyDescent="0.35">
      <c r="A2" s="128" t="s">
        <v>312</v>
      </c>
      <c r="B2" s="74"/>
      <c r="C2" s="74"/>
      <c r="D2" s="74"/>
      <c r="E2" s="74"/>
      <c r="F2" s="97"/>
      <c r="G2" s="95" t="s">
        <v>71</v>
      </c>
    </row>
    <row r="3" spans="1:7" ht="15.5" x14ac:dyDescent="0.35">
      <c r="A3" s="127" t="str">
        <f>Assumptions!A3</f>
        <v>As of November 1, 2021</v>
      </c>
      <c r="B3" s="74"/>
      <c r="C3" s="74"/>
      <c r="D3" s="74"/>
      <c r="E3" s="74"/>
      <c r="F3" s="74"/>
      <c r="G3" s="74"/>
    </row>
    <row r="4" spans="1:7" ht="15.5" x14ac:dyDescent="0.35">
      <c r="A4" s="129"/>
      <c r="B4" s="74"/>
      <c r="C4" s="74"/>
      <c r="D4" s="74"/>
      <c r="E4" s="74"/>
      <c r="F4" s="74"/>
      <c r="G4" s="74"/>
    </row>
    <row r="5" spans="1:7" ht="15.5" x14ac:dyDescent="0.35">
      <c r="A5" s="226" t="s">
        <v>284</v>
      </c>
      <c r="B5" s="74"/>
      <c r="C5" s="74"/>
      <c r="D5" s="74"/>
      <c r="E5" s="74"/>
      <c r="F5" s="74"/>
      <c r="G5" s="74"/>
    </row>
    <row r="6" spans="1:7" ht="15.5" x14ac:dyDescent="0.35">
      <c r="A6" s="74"/>
      <c r="B6" s="376" t="s">
        <v>309</v>
      </c>
      <c r="C6" s="377" t="s">
        <v>310</v>
      </c>
      <c r="D6" s="376" t="s">
        <v>311</v>
      </c>
      <c r="E6" s="74"/>
      <c r="F6" s="74"/>
      <c r="G6" s="74"/>
    </row>
    <row r="7" spans="1:7" ht="15.5" x14ac:dyDescent="0.35">
      <c r="A7" s="219" t="s">
        <v>278</v>
      </c>
      <c r="B7" s="376"/>
      <c r="C7" s="377"/>
      <c r="D7" s="376"/>
      <c r="E7" s="219"/>
      <c r="F7" s="74"/>
      <c r="G7" s="74"/>
    </row>
    <row r="8" spans="1:7" ht="15.5" x14ac:dyDescent="0.35">
      <c r="A8" s="217">
        <v>1</v>
      </c>
      <c r="B8" s="245">
        <f>IF(A8&gt;Assumptions!$C$19,Assumptions!$C$9-Assumptions!$C$20,Assumptions!$C$9)</f>
        <v>407</v>
      </c>
      <c r="C8" s="328">
        <f>B8*Assumptions!$B$87</f>
        <v>610500</v>
      </c>
      <c r="D8" s="215">
        <f>C8</f>
        <v>610500</v>
      </c>
      <c r="E8" s="219"/>
      <c r="F8" s="74"/>
      <c r="G8" s="74"/>
    </row>
    <row r="9" spans="1:7" ht="15.5" x14ac:dyDescent="0.35">
      <c r="A9" s="217">
        <v>2</v>
      </c>
      <c r="B9" s="245">
        <f>IF(A9&gt;Assumptions!$C$19,Assumptions!$C$9-Assumptions!$C$20,Assumptions!$C$9)</f>
        <v>407</v>
      </c>
      <c r="C9" s="328">
        <f>B9*Assumptions!$B$87</f>
        <v>610500</v>
      </c>
      <c r="D9" s="215">
        <f>+D8+C9</f>
        <v>1221000</v>
      </c>
      <c r="E9" s="222"/>
      <c r="F9" s="74"/>
      <c r="G9" s="74"/>
    </row>
    <row r="10" spans="1:7" ht="15.5" x14ac:dyDescent="0.35">
      <c r="A10" s="217">
        <v>3</v>
      </c>
      <c r="B10" s="245">
        <f>IF(A10&gt;Assumptions!$C$19,Assumptions!$C$9-Assumptions!$C$20,Assumptions!$C$9)</f>
        <v>407</v>
      </c>
      <c r="C10" s="328">
        <f>B10*Assumptions!$B$87</f>
        <v>610500</v>
      </c>
      <c r="D10" s="215">
        <f t="shared" ref="D10:D17" si="0">+D9+C10</f>
        <v>1831500</v>
      </c>
      <c r="E10" s="224"/>
      <c r="F10" s="74"/>
      <c r="G10" s="74"/>
    </row>
    <row r="11" spans="1:7" ht="15.5" x14ac:dyDescent="0.35">
      <c r="A11" s="217">
        <v>4</v>
      </c>
      <c r="B11" s="245">
        <f>IF(A11&gt;Assumptions!$C$19,Assumptions!$C$9-Assumptions!$C$20,Assumptions!$C$9)</f>
        <v>407</v>
      </c>
      <c r="C11" s="328">
        <f>B11*Assumptions!$B$87</f>
        <v>610500</v>
      </c>
      <c r="D11" s="215">
        <f t="shared" si="0"/>
        <v>2442000</v>
      </c>
      <c r="E11" s="224"/>
      <c r="F11" s="74"/>
      <c r="G11" s="74"/>
    </row>
    <row r="12" spans="1:7" ht="15.5" x14ac:dyDescent="0.35">
      <c r="A12" s="217">
        <v>5</v>
      </c>
      <c r="B12" s="245">
        <f>IF(A12&gt;Assumptions!$C$19,Assumptions!$C$9-Assumptions!$C$20,Assumptions!$C$9)</f>
        <v>407</v>
      </c>
      <c r="C12" s="328">
        <f>B12*Assumptions!$B$87</f>
        <v>610500</v>
      </c>
      <c r="D12" s="215">
        <f t="shared" si="0"/>
        <v>3052500</v>
      </c>
      <c r="E12" s="224"/>
      <c r="F12" s="74"/>
      <c r="G12" s="74"/>
    </row>
    <row r="13" spans="1:7" ht="15.5" x14ac:dyDescent="0.35">
      <c r="A13" s="217">
        <v>6</v>
      </c>
      <c r="B13" s="245">
        <f>IF(A13&gt;Assumptions!$C$19,Assumptions!$C$9-Assumptions!$C$20,Assumptions!$C$9)</f>
        <v>407</v>
      </c>
      <c r="C13" s="328">
        <f>B13*Assumptions!$B$87</f>
        <v>610500</v>
      </c>
      <c r="D13" s="215">
        <f t="shared" si="0"/>
        <v>3663000</v>
      </c>
      <c r="E13" s="224"/>
      <c r="F13" s="74"/>
      <c r="G13" s="74"/>
    </row>
    <row r="14" spans="1:7" ht="15.5" x14ac:dyDescent="0.35">
      <c r="A14" s="217">
        <v>7</v>
      </c>
      <c r="B14" s="245">
        <f>IF(A14&gt;Assumptions!$C$19,Assumptions!$C$9-Assumptions!$C$20,Assumptions!$C$9)</f>
        <v>287</v>
      </c>
      <c r="C14" s="328">
        <f>B14*Assumptions!$B$87</f>
        <v>430500</v>
      </c>
      <c r="D14" s="215">
        <f t="shared" si="0"/>
        <v>4093500</v>
      </c>
      <c r="E14" s="224"/>
      <c r="F14" s="74"/>
      <c r="G14" s="74"/>
    </row>
    <row r="15" spans="1:7" ht="15.5" x14ac:dyDescent="0.35">
      <c r="A15" s="217">
        <v>8</v>
      </c>
      <c r="B15" s="245">
        <f>IF(A15&gt;Assumptions!$C$19,Assumptions!$C$9-Assumptions!$C$20,Assumptions!$C$9)</f>
        <v>287</v>
      </c>
      <c r="C15" s="328">
        <f>B15*Assumptions!$B$87</f>
        <v>430500</v>
      </c>
      <c r="D15" s="215">
        <f t="shared" si="0"/>
        <v>4524000</v>
      </c>
      <c r="E15" s="224"/>
      <c r="F15" s="74"/>
      <c r="G15" s="74"/>
    </row>
    <row r="16" spans="1:7" ht="15.5" x14ac:dyDescent="0.35">
      <c r="A16" s="217">
        <v>9</v>
      </c>
      <c r="B16" s="245">
        <f>IF(A16&gt;Assumptions!$C$19,Assumptions!$C$9-Assumptions!$C$20,Assumptions!$C$9)</f>
        <v>287</v>
      </c>
      <c r="C16" s="328">
        <f>B16*Assumptions!$B$87</f>
        <v>430500</v>
      </c>
      <c r="D16" s="215">
        <f t="shared" si="0"/>
        <v>4954500</v>
      </c>
      <c r="E16" s="224"/>
      <c r="F16" s="74"/>
      <c r="G16" s="74"/>
    </row>
    <row r="17" spans="1:7" ht="15.5" x14ac:dyDescent="0.35">
      <c r="A17" s="217">
        <v>10</v>
      </c>
      <c r="B17" s="245">
        <f>IF(A17&gt;Assumptions!$C$19,Assumptions!$C$9-Assumptions!$C$20,Assumptions!$C$9)</f>
        <v>287</v>
      </c>
      <c r="C17" s="328">
        <f>B17*Assumptions!$B$87</f>
        <v>430500</v>
      </c>
      <c r="D17" s="215">
        <f t="shared" si="0"/>
        <v>5385000</v>
      </c>
      <c r="E17" s="224"/>
      <c r="F17" s="74"/>
      <c r="G17" s="74"/>
    </row>
    <row r="18" spans="1:7" ht="15.5" x14ac:dyDescent="0.35">
      <c r="A18" s="220"/>
      <c r="B18" s="221"/>
      <c r="C18" s="221"/>
      <c r="D18" s="223"/>
      <c r="E18" s="224"/>
      <c r="F18" s="74"/>
      <c r="G18" s="74"/>
    </row>
    <row r="19" spans="1:7" ht="15.5" x14ac:dyDescent="0.35">
      <c r="A19" s="226" t="s">
        <v>285</v>
      </c>
      <c r="B19" s="74"/>
      <c r="C19" s="74"/>
      <c r="D19" s="74"/>
      <c r="E19" s="74"/>
      <c r="F19" s="74"/>
      <c r="G19" s="74"/>
    </row>
    <row r="20" spans="1:7" ht="15.75" customHeight="1" x14ac:dyDescent="0.35">
      <c r="A20" s="74"/>
      <c r="B20" s="376" t="s">
        <v>309</v>
      </c>
      <c r="C20" s="377" t="s">
        <v>310</v>
      </c>
      <c r="D20" s="376" t="s">
        <v>311</v>
      </c>
      <c r="E20" s="74"/>
      <c r="F20" s="74"/>
      <c r="G20" s="74"/>
    </row>
    <row r="21" spans="1:7" ht="15.5" x14ac:dyDescent="0.35">
      <c r="A21" s="219" t="s">
        <v>278</v>
      </c>
      <c r="B21" s="376"/>
      <c r="C21" s="377"/>
      <c r="D21" s="376"/>
      <c r="E21" s="74"/>
      <c r="F21" s="74"/>
      <c r="G21" s="74"/>
    </row>
    <row r="22" spans="1:7" ht="15.5" x14ac:dyDescent="0.35">
      <c r="A22" s="217">
        <v>1</v>
      </c>
      <c r="B22" s="327">
        <f>Assumptions!$C$10</f>
        <v>80</v>
      </c>
      <c r="C22" s="215">
        <f>B22*Assumptions!$B$87</f>
        <v>120000</v>
      </c>
      <c r="D22" s="215">
        <f>C22</f>
        <v>120000</v>
      </c>
      <c r="E22" s="74"/>
      <c r="F22" s="74"/>
      <c r="G22" s="74"/>
    </row>
    <row r="23" spans="1:7" ht="15.5" x14ac:dyDescent="0.35">
      <c r="A23" s="217">
        <v>2</v>
      </c>
      <c r="B23" s="327">
        <f>Assumptions!$C$10</f>
        <v>80</v>
      </c>
      <c r="C23" s="215">
        <f>B23*Assumptions!$B$87</f>
        <v>120000</v>
      </c>
      <c r="D23" s="215">
        <f>D22+C23</f>
        <v>240000</v>
      </c>
      <c r="E23" s="74"/>
      <c r="F23" s="74"/>
      <c r="G23" s="74"/>
    </row>
    <row r="24" spans="1:7" ht="15.5" x14ac:dyDescent="0.35">
      <c r="A24" s="217">
        <v>3</v>
      </c>
      <c r="B24" s="327">
        <f>Assumptions!$C$10</f>
        <v>80</v>
      </c>
      <c r="C24" s="215">
        <f>B24*Assumptions!$B$87</f>
        <v>120000</v>
      </c>
      <c r="D24" s="215">
        <f t="shared" ref="D24:D31" si="1">D23+C24</f>
        <v>360000</v>
      </c>
      <c r="E24" s="74"/>
      <c r="F24" s="74"/>
      <c r="G24" s="74"/>
    </row>
    <row r="25" spans="1:7" ht="15.5" x14ac:dyDescent="0.35">
      <c r="A25" s="217">
        <v>4</v>
      </c>
      <c r="B25" s="327">
        <f>Assumptions!$C$10</f>
        <v>80</v>
      </c>
      <c r="C25" s="215">
        <f>B25*Assumptions!$B$87</f>
        <v>120000</v>
      </c>
      <c r="D25" s="215">
        <f t="shared" si="1"/>
        <v>480000</v>
      </c>
      <c r="E25" s="74"/>
      <c r="F25" s="74"/>
      <c r="G25" s="74"/>
    </row>
    <row r="26" spans="1:7" ht="15.5" x14ac:dyDescent="0.35">
      <c r="A26" s="217">
        <v>5</v>
      </c>
      <c r="B26" s="327">
        <f>Assumptions!$C$10</f>
        <v>80</v>
      </c>
      <c r="C26" s="215">
        <f>B26*Assumptions!$B$87</f>
        <v>120000</v>
      </c>
      <c r="D26" s="215">
        <f t="shared" si="1"/>
        <v>600000</v>
      </c>
      <c r="E26" s="74"/>
      <c r="F26" s="74"/>
      <c r="G26" s="74"/>
    </row>
    <row r="27" spans="1:7" ht="15.5" x14ac:dyDescent="0.35">
      <c r="A27" s="217">
        <v>6</v>
      </c>
      <c r="B27" s="327">
        <f>Assumptions!$C$10</f>
        <v>80</v>
      </c>
      <c r="C27" s="215">
        <f>B27*Assumptions!$B$87</f>
        <v>120000</v>
      </c>
      <c r="D27" s="215">
        <f t="shared" si="1"/>
        <v>720000</v>
      </c>
      <c r="E27" s="74"/>
      <c r="F27" s="74"/>
      <c r="G27" s="74"/>
    </row>
    <row r="28" spans="1:7" ht="15.5" x14ac:dyDescent="0.35">
      <c r="A28" s="217">
        <v>7</v>
      </c>
      <c r="B28" s="327">
        <f>Assumptions!$C$10</f>
        <v>80</v>
      </c>
      <c r="C28" s="215">
        <f>B28*Assumptions!$B$87</f>
        <v>120000</v>
      </c>
      <c r="D28" s="215">
        <f t="shared" si="1"/>
        <v>840000</v>
      </c>
      <c r="E28" s="74"/>
      <c r="F28" s="74"/>
      <c r="G28" s="74"/>
    </row>
    <row r="29" spans="1:7" ht="15.5" x14ac:dyDescent="0.35">
      <c r="A29" s="217">
        <v>8</v>
      </c>
      <c r="B29" s="327">
        <f>Assumptions!$C$10</f>
        <v>80</v>
      </c>
      <c r="C29" s="215">
        <f>B29*Assumptions!$B$87</f>
        <v>120000</v>
      </c>
      <c r="D29" s="215">
        <f t="shared" si="1"/>
        <v>960000</v>
      </c>
      <c r="E29" s="74"/>
      <c r="F29" s="74"/>
      <c r="G29" s="74"/>
    </row>
    <row r="30" spans="1:7" ht="15.5" x14ac:dyDescent="0.35">
      <c r="A30" s="217">
        <v>9</v>
      </c>
      <c r="B30" s="327">
        <f>Assumptions!$C$10</f>
        <v>80</v>
      </c>
      <c r="C30" s="215">
        <f>B30*Assumptions!$B$87</f>
        <v>120000</v>
      </c>
      <c r="D30" s="215">
        <f t="shared" si="1"/>
        <v>1080000</v>
      </c>
      <c r="E30" s="74"/>
      <c r="F30" s="74"/>
      <c r="G30" s="74"/>
    </row>
    <row r="31" spans="1:7" ht="15.5" x14ac:dyDescent="0.35">
      <c r="A31" s="217">
        <v>10</v>
      </c>
      <c r="B31" s="327">
        <f>Assumptions!$C$10</f>
        <v>80</v>
      </c>
      <c r="C31" s="215">
        <f>B31*Assumptions!$B$87</f>
        <v>120000</v>
      </c>
      <c r="D31" s="215">
        <f t="shared" si="1"/>
        <v>1200000</v>
      </c>
      <c r="E31" s="74"/>
      <c r="F31" s="74"/>
      <c r="G31" s="74"/>
    </row>
  </sheetData>
  <mergeCells count="6">
    <mergeCell ref="B6:B7"/>
    <mergeCell ref="C6:C7"/>
    <mergeCell ref="D6:D7"/>
    <mergeCell ref="B20:B21"/>
    <mergeCell ref="C20:C21"/>
    <mergeCell ref="D20:D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7ABEE-E594-4627-9A8F-7F79D4E7B21D}">
  <sheetPr>
    <tabColor theme="5" tint="0.59999389629810485"/>
  </sheetPr>
  <dimension ref="A1:K31"/>
  <sheetViews>
    <sheetView workbookViewId="0">
      <selection activeCell="C7" sqref="C7"/>
    </sheetView>
  </sheetViews>
  <sheetFormatPr defaultColWidth="9" defaultRowHeight="15.5" x14ac:dyDescent="0.35"/>
  <cols>
    <col min="1" max="1" width="28.61328125" style="74" bestFit="1" customWidth="1"/>
    <col min="2" max="8" width="20.61328125" style="74" customWidth="1"/>
    <col min="9" max="16384" width="9" style="74"/>
  </cols>
  <sheetData>
    <row r="1" spans="1:11" x14ac:dyDescent="0.35">
      <c r="A1" s="127" t="str">
        <f>Assumptions!A1</f>
        <v>C5 Farming, LLC</v>
      </c>
      <c r="I1" s="96"/>
      <c r="J1" s="95" t="s">
        <v>70</v>
      </c>
      <c r="K1" s="95"/>
    </row>
    <row r="2" spans="1:11" x14ac:dyDescent="0.35">
      <c r="A2" s="128" t="s">
        <v>83</v>
      </c>
      <c r="I2" s="97"/>
      <c r="J2" s="95" t="s">
        <v>71</v>
      </c>
      <c r="K2" s="95"/>
    </row>
    <row r="3" spans="1:11" x14ac:dyDescent="0.35">
      <c r="A3" s="127" t="str">
        <f>Assumptions!A3</f>
        <v>As of November 1, 2021</v>
      </c>
    </row>
    <row r="4" spans="1:11" x14ac:dyDescent="0.35">
      <c r="A4" s="129"/>
    </row>
    <row r="6" spans="1:11" x14ac:dyDescent="0.35">
      <c r="A6" s="81" t="s">
        <v>84</v>
      </c>
      <c r="B6" s="81" t="s">
        <v>85</v>
      </c>
      <c r="C6" s="81" t="s">
        <v>86</v>
      </c>
      <c r="D6" s="81" t="s">
        <v>87</v>
      </c>
      <c r="E6" s="81" t="s">
        <v>88</v>
      </c>
      <c r="F6" s="81" t="s">
        <v>89</v>
      </c>
      <c r="G6" s="81" t="s">
        <v>90</v>
      </c>
      <c r="H6" s="81" t="s">
        <v>91</v>
      </c>
    </row>
    <row r="7" spans="1:11" x14ac:dyDescent="0.35">
      <c r="A7" s="240">
        <v>1</v>
      </c>
      <c r="B7" s="218">
        <v>44742</v>
      </c>
      <c r="C7" s="82">
        <f>0.55*Assumptions!C34</f>
        <v>9528750</v>
      </c>
      <c r="D7" s="82">
        <f>-PMT(Assumptions!$C$43,25,'Loan Ammortization'!$C$7)</f>
        <v>562570.97071290563</v>
      </c>
      <c r="E7" s="82">
        <f>-PPMT(Assumptions!$C$43,'Loan Ammortization'!A7,Assumptions!$C$44,'Loan Ammortization'!$C$7)</f>
        <v>252886.5957129056</v>
      </c>
      <c r="F7" s="82">
        <f>-IPMT(Assumptions!$C$43,'Loan Ammortization'!A7,Assumptions!$C$44,'Loan Ammortization'!$C$7)</f>
        <v>309684.375</v>
      </c>
      <c r="G7" s="316">
        <f>C7-E7</f>
        <v>9275863.4042870943</v>
      </c>
      <c r="H7" s="316">
        <f>IF(F7&gt;0,F7,0)</f>
        <v>309684.375</v>
      </c>
    </row>
    <row r="8" spans="1:11" x14ac:dyDescent="0.35">
      <c r="A8" s="240">
        <v>2</v>
      </c>
      <c r="B8" s="218">
        <v>45107</v>
      </c>
      <c r="C8" s="82">
        <f>G7</f>
        <v>9275863.4042870943</v>
      </c>
      <c r="D8" s="82">
        <f>-PMT(Assumptions!$C$43,25,'Loan Ammortization'!$C$7)</f>
        <v>562570.97071290563</v>
      </c>
      <c r="E8" s="82">
        <f>-PPMT(Assumptions!$C$43,'Loan Ammortization'!A8,Assumptions!$C$44,'Loan Ammortization'!$C$7)</f>
        <v>261105.41007357501</v>
      </c>
      <c r="F8" s="82">
        <f>-IPMT(Assumptions!$C$43,'Loan Ammortization'!A8,Assumptions!$C$44,'Loan Ammortization'!$C$7)</f>
        <v>301465.56063933065</v>
      </c>
      <c r="G8" s="316">
        <f t="shared" ref="G8:G31" si="0">C8-E8</f>
        <v>9014757.9942135196</v>
      </c>
      <c r="H8" s="316">
        <f>IF(F8&gt;0,F8+H7,0)</f>
        <v>611149.93563933065</v>
      </c>
    </row>
    <row r="9" spans="1:11" x14ac:dyDescent="0.35">
      <c r="A9" s="240">
        <v>3</v>
      </c>
      <c r="B9" s="218">
        <v>45473</v>
      </c>
      <c r="C9" s="82">
        <f t="shared" ref="C9:C31" si="1">G8</f>
        <v>9014757.9942135196</v>
      </c>
      <c r="D9" s="82">
        <f>-PMT(Assumptions!$C$43,25,'Loan Ammortization'!$C$7)</f>
        <v>562570.97071290563</v>
      </c>
      <c r="E9" s="82">
        <f>-PPMT(Assumptions!$C$43,'Loan Ammortization'!A9,Assumptions!$C$44,'Loan Ammortization'!$C$7)</f>
        <v>269591.33590096619</v>
      </c>
      <c r="F9" s="82">
        <f>-IPMT(Assumptions!$C$43,'Loan Ammortization'!A9,Assumptions!$C$44,'Loan Ammortization'!$C$7)</f>
        <v>292979.63481193938</v>
      </c>
      <c r="G9" s="316">
        <f t="shared" si="0"/>
        <v>8745166.6583125535</v>
      </c>
      <c r="H9" s="316">
        <f t="shared" ref="H9:H31" si="2">IF(F9&gt;0,F9+H8,0)</f>
        <v>904129.57045127009</v>
      </c>
    </row>
    <row r="10" spans="1:11" x14ac:dyDescent="0.35">
      <c r="A10" s="240">
        <v>4</v>
      </c>
      <c r="B10" s="218">
        <v>45838</v>
      </c>
      <c r="C10" s="82">
        <f t="shared" si="1"/>
        <v>8745166.6583125535</v>
      </c>
      <c r="D10" s="82">
        <f>-PMT(Assumptions!$C$43,25,'Loan Ammortization'!$C$7)</f>
        <v>562570.97071290563</v>
      </c>
      <c r="E10" s="82">
        <f>-PPMT(Assumptions!$C$43,'Loan Ammortization'!A10,Assumptions!$C$44,'Loan Ammortization'!$C$7)</f>
        <v>278353.05431774765</v>
      </c>
      <c r="F10" s="82">
        <f>-IPMT(Assumptions!$C$43,'Loan Ammortization'!A10,Assumptions!$C$44,'Loan Ammortization'!$C$7)</f>
        <v>284217.91639515792</v>
      </c>
      <c r="G10" s="316">
        <f t="shared" si="0"/>
        <v>8466813.6039948054</v>
      </c>
      <c r="H10" s="316">
        <f t="shared" si="2"/>
        <v>1188347.4868464279</v>
      </c>
    </row>
    <row r="11" spans="1:11" x14ac:dyDescent="0.35">
      <c r="A11" s="240">
        <v>5</v>
      </c>
      <c r="B11" s="218">
        <v>46203</v>
      </c>
      <c r="C11" s="82">
        <f t="shared" si="1"/>
        <v>8466813.6039948054</v>
      </c>
      <c r="D11" s="82">
        <f>-PMT(Assumptions!$C$43,25,'Loan Ammortization'!$C$7)</f>
        <v>562570.97071290563</v>
      </c>
      <c r="E11" s="82">
        <f>-PPMT(Assumptions!$C$43,'Loan Ammortization'!A11,Assumptions!$C$44,'Loan Ammortization'!$C$7)</f>
        <v>287399.5285830744</v>
      </c>
      <c r="F11" s="82">
        <f>-IPMT(Assumptions!$C$43,'Loan Ammortization'!A11,Assumptions!$C$44,'Loan Ammortization'!$C$7)</f>
        <v>275171.44212983124</v>
      </c>
      <c r="G11" s="316">
        <f t="shared" si="0"/>
        <v>8179414.0754117314</v>
      </c>
      <c r="H11" s="316">
        <f t="shared" si="2"/>
        <v>1463518.9289762592</v>
      </c>
    </row>
    <row r="12" spans="1:11" x14ac:dyDescent="0.35">
      <c r="A12" s="240">
        <v>6</v>
      </c>
      <c r="B12" s="218">
        <v>46568</v>
      </c>
      <c r="C12" s="82">
        <f t="shared" si="1"/>
        <v>8179414.0754117314</v>
      </c>
      <c r="D12" s="82">
        <f>-PMT(Assumptions!$C$43,25,'Loan Ammortization'!$C$7)</f>
        <v>562570.97071290563</v>
      </c>
      <c r="E12" s="82">
        <f>-PPMT(Assumptions!$C$43,'Loan Ammortization'!A12,Assumptions!$C$44,'Loan Ammortization'!$C$7)</f>
        <v>296740.01326202438</v>
      </c>
      <c r="F12" s="82">
        <f>-IPMT(Assumptions!$C$43,'Loan Ammortization'!A12,Assumptions!$C$44,'Loan Ammortization'!$C$7)</f>
        <v>265830.95745088125</v>
      </c>
      <c r="G12" s="316">
        <f t="shared" si="0"/>
        <v>7882674.0621497072</v>
      </c>
      <c r="H12" s="316">
        <f t="shared" si="2"/>
        <v>1729349.8864271403</v>
      </c>
    </row>
    <row r="13" spans="1:11" x14ac:dyDescent="0.35">
      <c r="A13" s="240">
        <v>7</v>
      </c>
      <c r="B13" s="218">
        <v>46934</v>
      </c>
      <c r="C13" s="82">
        <f t="shared" si="1"/>
        <v>7882674.0621497072</v>
      </c>
      <c r="D13" s="82">
        <f>-PMT(Assumptions!$C$43,25,'Loan Ammortization'!$C$7)</f>
        <v>562570.97071290563</v>
      </c>
      <c r="E13" s="82">
        <f>-PPMT(Assumptions!$C$43,'Loan Ammortization'!A13,Assumptions!$C$44,'Loan Ammortization'!$C$7)</f>
        <v>306384.06369304011</v>
      </c>
      <c r="F13" s="82">
        <f>-IPMT(Assumptions!$C$43,'Loan Ammortization'!A13,Assumptions!$C$44,'Loan Ammortization'!$C$7)</f>
        <v>256186.90701986547</v>
      </c>
      <c r="G13" s="316">
        <f t="shared" si="0"/>
        <v>7576289.9984566672</v>
      </c>
      <c r="H13" s="316">
        <f t="shared" si="2"/>
        <v>1985536.7934470058</v>
      </c>
    </row>
    <row r="14" spans="1:11" x14ac:dyDescent="0.35">
      <c r="A14" s="240">
        <v>8</v>
      </c>
      <c r="B14" s="218">
        <v>47299</v>
      </c>
      <c r="C14" s="82">
        <f t="shared" si="1"/>
        <v>7576289.9984566672</v>
      </c>
      <c r="D14" s="82">
        <f>-PMT(Assumptions!$C$43,25,'Loan Ammortization'!$C$7)</f>
        <v>562570.97071290563</v>
      </c>
      <c r="E14" s="82">
        <f>-PPMT(Assumptions!$C$43,'Loan Ammortization'!A14,Assumptions!$C$44,'Loan Ammortization'!$C$7)</f>
        <v>316341.54576306388</v>
      </c>
      <c r="F14" s="82">
        <f>-IPMT(Assumptions!$C$43,'Loan Ammortization'!A14,Assumptions!$C$44,'Loan Ammortization'!$C$7)</f>
        <v>246229.42494984169</v>
      </c>
      <c r="G14" s="316">
        <f t="shared" si="0"/>
        <v>7259948.452693603</v>
      </c>
      <c r="H14" s="316">
        <f t="shared" si="2"/>
        <v>2231766.2183968476</v>
      </c>
    </row>
    <row r="15" spans="1:11" x14ac:dyDescent="0.35">
      <c r="A15" s="240">
        <v>9</v>
      </c>
      <c r="B15" s="218">
        <v>47664</v>
      </c>
      <c r="C15" s="82">
        <f t="shared" si="1"/>
        <v>7259948.452693603</v>
      </c>
      <c r="D15" s="82">
        <f>-PMT(Assumptions!$C$43,25,'Loan Ammortization'!$C$7)</f>
        <v>562570.97071290563</v>
      </c>
      <c r="E15" s="82">
        <f>-PPMT(Assumptions!$C$43,'Loan Ammortization'!A15,Assumptions!$C$44,'Loan Ammortization'!$C$7)</f>
        <v>326622.64600036351</v>
      </c>
      <c r="F15" s="82">
        <f>-IPMT(Assumptions!$C$43,'Loan Ammortization'!A15,Assumptions!$C$44,'Loan Ammortization'!$C$7)</f>
        <v>235948.32471254212</v>
      </c>
      <c r="G15" s="316">
        <f t="shared" si="0"/>
        <v>6933325.8066932391</v>
      </c>
      <c r="H15" s="316">
        <f t="shared" si="2"/>
        <v>2467714.54310939</v>
      </c>
    </row>
    <row r="16" spans="1:11" x14ac:dyDescent="0.35">
      <c r="A16" s="240">
        <v>10</v>
      </c>
      <c r="B16" s="218">
        <v>48029</v>
      </c>
      <c r="C16" s="316">
        <f>G15</f>
        <v>6933325.8066932391</v>
      </c>
      <c r="D16" s="82">
        <f>-PMT(Assumptions!$C$43,25,'Loan Ammortization'!$C$7)</f>
        <v>562570.97071290563</v>
      </c>
      <c r="E16" s="82">
        <f>-PPMT(Assumptions!$C$43,'Loan Ammortization'!A16,Assumptions!$C$44,'Loan Ammortization'!$C$7)</f>
        <v>337237.88199537533</v>
      </c>
      <c r="F16" s="82">
        <f>-IPMT(Assumptions!$C$43,'Loan Ammortization'!A16,Assumptions!$C$44,'Loan Ammortization'!$C$7)</f>
        <v>225333.08871753031</v>
      </c>
      <c r="G16" s="316">
        <f t="shared" si="0"/>
        <v>6596087.9246978639</v>
      </c>
      <c r="H16" s="316">
        <f t="shared" si="2"/>
        <v>2693047.6318269204</v>
      </c>
    </row>
    <row r="17" spans="1:8" x14ac:dyDescent="0.35">
      <c r="A17" s="240">
        <v>11</v>
      </c>
      <c r="B17" s="218">
        <v>48395</v>
      </c>
      <c r="C17" s="82">
        <f t="shared" si="1"/>
        <v>6596087.9246978639</v>
      </c>
      <c r="D17" s="82">
        <f>-PMT(Assumptions!$C$43,25,'Loan Ammortization'!$C$7)</f>
        <v>562570.97071290563</v>
      </c>
      <c r="E17" s="82">
        <f>-PPMT(Assumptions!$C$43,'Loan Ammortization'!A17,Assumptions!$C$44,'Loan Ammortization'!$C$7)</f>
        <v>348198.11316022498</v>
      </c>
      <c r="F17" s="82">
        <f>-IPMT(Assumptions!$C$43,'Loan Ammortization'!A17,Assumptions!$C$44,'Loan Ammortization'!$C$7)</f>
        <v>214372.85755268059</v>
      </c>
      <c r="G17" s="316">
        <f t="shared" si="0"/>
        <v>6247889.8115376392</v>
      </c>
      <c r="H17" s="316">
        <f t="shared" si="2"/>
        <v>2907420.4893796011</v>
      </c>
    </row>
    <row r="18" spans="1:8" x14ac:dyDescent="0.35">
      <c r="A18" s="240">
        <v>12</v>
      </c>
      <c r="B18" s="218">
        <v>48760</v>
      </c>
      <c r="C18" s="316">
        <f t="shared" si="1"/>
        <v>6247889.8115376392</v>
      </c>
      <c r="D18" s="82">
        <f>-PMT(Assumptions!$C$43,25,'Loan Ammortization'!$C$7)</f>
        <v>562570.97071290563</v>
      </c>
      <c r="E18" s="82">
        <f>-PPMT(Assumptions!$C$43,'Loan Ammortization'!A18,Assumptions!$C$44,'Loan Ammortization'!$C$7)</f>
        <v>359514.55183793232</v>
      </c>
      <c r="F18" s="82">
        <f>-IPMT(Assumptions!$C$43,'Loan Ammortization'!A18,Assumptions!$C$44,'Loan Ammortization'!$C$7)</f>
        <v>203056.41887497331</v>
      </c>
      <c r="G18" s="316">
        <f t="shared" si="0"/>
        <v>5888375.2596997069</v>
      </c>
      <c r="H18" s="316">
        <f t="shared" si="2"/>
        <v>3110476.9082545745</v>
      </c>
    </row>
    <row r="19" spans="1:8" x14ac:dyDescent="0.35">
      <c r="A19" s="240">
        <v>13</v>
      </c>
      <c r="B19" s="218">
        <v>49125</v>
      </c>
      <c r="C19" s="82">
        <f t="shared" si="1"/>
        <v>5888375.2596997069</v>
      </c>
      <c r="D19" s="82">
        <f>-PMT(Assumptions!$C$43,25,'Loan Ammortization'!$C$7)</f>
        <v>562570.97071290563</v>
      </c>
      <c r="E19" s="82">
        <f>-PPMT(Assumptions!$C$43,'Loan Ammortization'!A19,Assumptions!$C$44,'Loan Ammortization'!$C$7)</f>
        <v>371198.77477266511</v>
      </c>
      <c r="F19" s="82">
        <f>-IPMT(Assumptions!$C$43,'Loan Ammortization'!A19,Assumptions!$C$44,'Loan Ammortization'!$C$7)</f>
        <v>191372.19594024049</v>
      </c>
      <c r="G19" s="316">
        <f t="shared" si="0"/>
        <v>5517176.4849270415</v>
      </c>
      <c r="H19" s="316">
        <f t="shared" si="2"/>
        <v>3301849.1041948148</v>
      </c>
    </row>
    <row r="20" spans="1:8" x14ac:dyDescent="0.35">
      <c r="A20" s="240">
        <v>14</v>
      </c>
      <c r="B20" s="218">
        <v>49490</v>
      </c>
      <c r="C20" s="316">
        <f t="shared" si="1"/>
        <v>5517176.4849270415</v>
      </c>
      <c r="D20" s="82">
        <f>-PMT(Assumptions!$C$43,25,'Loan Ammortization'!$C$7)</f>
        <v>562570.97071290563</v>
      </c>
      <c r="E20" s="82">
        <f>-PPMT(Assumptions!$C$43,'Loan Ammortization'!A20,Assumptions!$C$44,'Loan Ammortization'!$C$7)</f>
        <v>383262.73495277675</v>
      </c>
      <c r="F20" s="82">
        <f>-IPMT(Assumptions!$C$43,'Loan Ammortization'!A20,Assumptions!$C$44,'Loan Ammortization'!$C$7)</f>
        <v>179308.23576012888</v>
      </c>
      <c r="G20" s="316">
        <f t="shared" si="0"/>
        <v>5133913.7499742648</v>
      </c>
      <c r="H20" s="316">
        <f t="shared" si="2"/>
        <v>3481157.3399549439</v>
      </c>
    </row>
    <row r="21" spans="1:8" x14ac:dyDescent="0.35">
      <c r="A21" s="240">
        <v>15</v>
      </c>
      <c r="B21" s="218">
        <v>49856</v>
      </c>
      <c r="C21" s="82">
        <f t="shared" si="1"/>
        <v>5133913.7499742648</v>
      </c>
      <c r="D21" s="82">
        <f>-PMT(Assumptions!$C$43,25,'Loan Ammortization'!$C$7)</f>
        <v>562570.97071290563</v>
      </c>
      <c r="E21" s="82">
        <f>-PPMT(Assumptions!$C$43,'Loan Ammortization'!A21,Assumptions!$C$44,'Loan Ammortization'!$C$7)</f>
        <v>395718.77383874194</v>
      </c>
      <c r="F21" s="82">
        <f>-IPMT(Assumptions!$C$43,'Loan Ammortization'!A21,Assumptions!$C$44,'Loan Ammortization'!$C$7)</f>
        <v>166852.19687416364</v>
      </c>
      <c r="G21" s="316">
        <f t="shared" si="0"/>
        <v>4738194.9761355231</v>
      </c>
      <c r="H21" s="316">
        <f t="shared" si="2"/>
        <v>3648009.5368291074</v>
      </c>
    </row>
    <row r="22" spans="1:8" x14ac:dyDescent="0.35">
      <c r="A22" s="240">
        <v>16</v>
      </c>
      <c r="B22" s="218">
        <v>50221</v>
      </c>
      <c r="C22" s="316">
        <f t="shared" si="1"/>
        <v>4738194.9761355231</v>
      </c>
      <c r="D22" s="82">
        <f>-PMT(Assumptions!$C$43,25,'Loan Ammortization'!$C$7)</f>
        <v>562570.97071290563</v>
      </c>
      <c r="E22" s="82">
        <f>-PPMT(Assumptions!$C$43,'Loan Ammortization'!A22,Assumptions!$C$44,'Loan Ammortization'!$C$7)</f>
        <v>408579.63398850104</v>
      </c>
      <c r="F22" s="82">
        <f>-IPMT(Assumptions!$C$43,'Loan Ammortization'!A22,Assumptions!$C$44,'Loan Ammortization'!$C$7)</f>
        <v>153991.33672440451</v>
      </c>
      <c r="G22" s="316">
        <f t="shared" si="0"/>
        <v>4329615.3421470225</v>
      </c>
      <c r="H22" s="316">
        <f t="shared" si="2"/>
        <v>3802000.8735535122</v>
      </c>
    </row>
    <row r="23" spans="1:8" x14ac:dyDescent="0.35">
      <c r="A23" s="240">
        <v>17</v>
      </c>
      <c r="B23" s="218">
        <v>50586</v>
      </c>
      <c r="C23" s="82">
        <f t="shared" si="1"/>
        <v>4329615.3421470225</v>
      </c>
      <c r="D23" s="82">
        <f>-PMT(Assumptions!$C$43,25,'Loan Ammortization'!$C$7)</f>
        <v>562570.97071290563</v>
      </c>
      <c r="E23" s="82">
        <f>-PPMT(Assumptions!$C$43,'Loan Ammortization'!A23,Assumptions!$C$44,'Loan Ammortization'!$C$7)</f>
        <v>421858.47209312738</v>
      </c>
      <c r="F23" s="82">
        <f>-IPMT(Assumptions!$C$43,'Loan Ammortization'!A23,Assumptions!$C$44,'Loan Ammortization'!$C$7)</f>
        <v>140712.49861977823</v>
      </c>
      <c r="G23" s="316">
        <f t="shared" si="0"/>
        <v>3907756.8700538953</v>
      </c>
      <c r="H23" s="316">
        <f t="shared" si="2"/>
        <v>3942713.3721732902</v>
      </c>
    </row>
    <row r="24" spans="1:8" x14ac:dyDescent="0.35">
      <c r="A24" s="240">
        <v>18</v>
      </c>
      <c r="B24" s="218">
        <v>50951</v>
      </c>
      <c r="C24" s="316">
        <f t="shared" si="1"/>
        <v>3907756.8700538953</v>
      </c>
      <c r="D24" s="82">
        <f>-PMT(Assumptions!$C$43,25,'Loan Ammortization'!$C$7)</f>
        <v>562570.97071290563</v>
      </c>
      <c r="E24" s="82">
        <f>-PPMT(Assumptions!$C$43,'Loan Ammortization'!A24,Assumptions!$C$44,'Loan Ammortization'!$C$7)</f>
        <v>435568.87243615399</v>
      </c>
      <c r="F24" s="82">
        <f>-IPMT(Assumptions!$C$43,'Loan Ammortization'!A24,Assumptions!$C$44,'Loan Ammortization'!$C$7)</f>
        <v>127002.09827675158</v>
      </c>
      <c r="G24" s="316">
        <f t="shared" si="0"/>
        <v>3472187.9976177411</v>
      </c>
      <c r="H24" s="316">
        <f t="shared" si="2"/>
        <v>4069715.4704500418</v>
      </c>
    </row>
    <row r="25" spans="1:8" x14ac:dyDescent="0.35">
      <c r="A25" s="240">
        <v>19</v>
      </c>
      <c r="B25" s="218">
        <v>51317</v>
      </c>
      <c r="C25" s="82">
        <f t="shared" si="1"/>
        <v>3472187.9976177411</v>
      </c>
      <c r="D25" s="82">
        <f>-PMT(Assumptions!$C$43,25,'Loan Ammortization'!$C$7)</f>
        <v>562570.97071290563</v>
      </c>
      <c r="E25" s="82">
        <f>-PPMT(Assumptions!$C$43,'Loan Ammortization'!A25,Assumptions!$C$44,'Loan Ammortization'!$C$7)</f>
        <v>449724.86079032905</v>
      </c>
      <c r="F25" s="82">
        <f>-IPMT(Assumptions!$C$43,'Loan Ammortization'!A25,Assumptions!$C$44,'Loan Ammortization'!$C$7)</f>
        <v>112846.10992257661</v>
      </c>
      <c r="G25" s="316">
        <f t="shared" si="0"/>
        <v>3022463.1368274121</v>
      </c>
      <c r="H25" s="316">
        <f t="shared" si="2"/>
        <v>4182561.5803726185</v>
      </c>
    </row>
    <row r="26" spans="1:8" x14ac:dyDescent="0.35">
      <c r="A26" s="240">
        <v>20</v>
      </c>
      <c r="B26" s="218">
        <v>51682</v>
      </c>
      <c r="C26" s="316">
        <f t="shared" si="1"/>
        <v>3022463.1368274121</v>
      </c>
      <c r="D26" s="82">
        <f>-PMT(Assumptions!$C$43,25,'Loan Ammortization'!$C$7)</f>
        <v>562570.97071290563</v>
      </c>
      <c r="E26" s="82">
        <f>-PPMT(Assumptions!$C$43,'Loan Ammortization'!A26,Assumptions!$C$44,'Loan Ammortization'!$C$7)</f>
        <v>464340.91876601474</v>
      </c>
      <c r="F26" s="82">
        <f>-IPMT(Assumptions!$C$43,'Loan Ammortization'!A26,Assumptions!$C$44,'Loan Ammortization'!$C$7)</f>
        <v>98230.051946890904</v>
      </c>
      <c r="G26" s="316">
        <f t="shared" si="0"/>
        <v>2558122.2180613973</v>
      </c>
      <c r="H26" s="316">
        <f t="shared" si="2"/>
        <v>4280791.6323195091</v>
      </c>
    </row>
    <row r="27" spans="1:8" x14ac:dyDescent="0.35">
      <c r="A27" s="240">
        <v>21</v>
      </c>
      <c r="B27" s="218">
        <v>52047</v>
      </c>
      <c r="C27" s="82">
        <f t="shared" si="1"/>
        <v>2558122.2180613973</v>
      </c>
      <c r="D27" s="82">
        <f>-PMT(Assumptions!$C$43,25,'Loan Ammortization'!$C$7)</f>
        <v>562570.97071290563</v>
      </c>
      <c r="E27" s="82">
        <f>-PPMT(Assumptions!$C$43,'Loan Ammortization'!A27,Assumptions!$C$44,'Loan Ammortization'!$C$7)</f>
        <v>479431.9986259102</v>
      </c>
      <c r="F27" s="82">
        <f>-IPMT(Assumptions!$C$43,'Loan Ammortization'!A27,Assumptions!$C$44,'Loan Ammortization'!$C$7)</f>
        <v>83138.972086995418</v>
      </c>
      <c r="G27" s="316">
        <f t="shared" si="0"/>
        <v>2078690.2194354872</v>
      </c>
      <c r="H27" s="316">
        <f t="shared" si="2"/>
        <v>4363930.6044065049</v>
      </c>
    </row>
    <row r="28" spans="1:8" x14ac:dyDescent="0.35">
      <c r="A28" s="240">
        <v>22</v>
      </c>
      <c r="B28" s="218">
        <v>52412</v>
      </c>
      <c r="C28" s="316">
        <f t="shared" si="1"/>
        <v>2078690.2194354872</v>
      </c>
      <c r="D28" s="82">
        <f>-PMT(Assumptions!$C$43,25,'Loan Ammortization'!$C$7)</f>
        <v>562570.97071290563</v>
      </c>
      <c r="E28" s="82">
        <f>-PPMT(Assumptions!$C$43,'Loan Ammortization'!A28,Assumptions!$C$44,'Loan Ammortization'!$C$7)</f>
        <v>495013.53858125221</v>
      </c>
      <c r="F28" s="82">
        <f>-IPMT(Assumptions!$C$43,'Loan Ammortization'!A28,Assumptions!$C$44,'Loan Ammortization'!$C$7)</f>
        <v>67557.432131653346</v>
      </c>
      <c r="G28" s="316">
        <f t="shared" si="0"/>
        <v>1583676.6808542348</v>
      </c>
      <c r="H28" s="316">
        <f t="shared" si="2"/>
        <v>4431488.0365381585</v>
      </c>
    </row>
    <row r="29" spans="1:8" x14ac:dyDescent="0.35">
      <c r="A29" s="240">
        <v>23</v>
      </c>
      <c r="B29" s="218">
        <v>52778</v>
      </c>
      <c r="C29" s="82">
        <f t="shared" si="1"/>
        <v>1583676.6808542348</v>
      </c>
      <c r="D29" s="82">
        <f>-PMT(Assumptions!$C$43,25,'Loan Ammortization'!$C$7)</f>
        <v>562570.97071290563</v>
      </c>
      <c r="E29" s="82">
        <f>-PPMT(Assumptions!$C$43,'Loan Ammortization'!A29,Assumptions!$C$44,'Loan Ammortization'!$C$7)</f>
        <v>511101.47858514293</v>
      </c>
      <c r="F29" s="82">
        <f>-IPMT(Assumptions!$C$43,'Loan Ammortization'!A29,Assumptions!$C$44,'Loan Ammortization'!$C$7)</f>
        <v>51469.492127762664</v>
      </c>
      <c r="G29" s="316">
        <f t="shared" si="0"/>
        <v>1072575.202269092</v>
      </c>
      <c r="H29" s="316">
        <f t="shared" si="2"/>
        <v>4482957.5286659217</v>
      </c>
    </row>
    <row r="30" spans="1:8" x14ac:dyDescent="0.35">
      <c r="A30" s="240">
        <v>24</v>
      </c>
      <c r="B30" s="218">
        <v>53143</v>
      </c>
      <c r="C30" s="316">
        <f t="shared" si="1"/>
        <v>1072575.202269092</v>
      </c>
      <c r="D30" s="82">
        <f>-PMT(Assumptions!$C$43,25,'Loan Ammortization'!$C$7)</f>
        <v>562570.97071290563</v>
      </c>
      <c r="E30" s="82">
        <f>-PPMT(Assumptions!$C$43,'Loan Ammortization'!A30,Assumptions!$C$44,'Loan Ammortization'!$C$7)</f>
        <v>527712.27663916012</v>
      </c>
      <c r="F30" s="82">
        <f>-IPMT(Assumptions!$C$43,'Loan Ammortization'!A30,Assumptions!$C$44,'Loan Ammortization'!$C$7)</f>
        <v>34858.694073745515</v>
      </c>
      <c r="G30" s="316">
        <f t="shared" si="0"/>
        <v>544862.92562993185</v>
      </c>
      <c r="H30" s="316">
        <f t="shared" si="2"/>
        <v>4517816.2227396667</v>
      </c>
    </row>
    <row r="31" spans="1:8" x14ac:dyDescent="0.35">
      <c r="A31" s="240">
        <v>25</v>
      </c>
      <c r="B31" s="218">
        <v>53508</v>
      </c>
      <c r="C31" s="82">
        <f t="shared" si="1"/>
        <v>544862.92562993185</v>
      </c>
      <c r="D31" s="82">
        <f>-PMT(Assumptions!$C$43,25,'Loan Ammortization'!$C$7)</f>
        <v>562570.97071290563</v>
      </c>
      <c r="E31" s="82">
        <f>-PPMT(Assumptions!$C$43,'Loan Ammortization'!A31,Assumptions!$C$44,'Loan Ammortization'!$C$7)</f>
        <v>544862.92562993278</v>
      </c>
      <c r="F31" s="82">
        <f>-IPMT(Assumptions!$C$43,'Loan Ammortization'!A31,Assumptions!$C$44,'Loan Ammortization'!$C$7)</f>
        <v>17708.045082972811</v>
      </c>
      <c r="G31" s="316">
        <f t="shared" si="0"/>
        <v>-9.3132257461547852E-10</v>
      </c>
      <c r="H31" s="316">
        <f t="shared" si="2"/>
        <v>4535524.2678226391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7D60A-D519-4175-A8FC-193258C9FD97}">
  <sheetPr>
    <tabColor theme="5" tint="0.59999389629810485"/>
  </sheetPr>
  <dimension ref="A1:H17"/>
  <sheetViews>
    <sheetView workbookViewId="0">
      <selection activeCell="E8" sqref="E8"/>
    </sheetView>
  </sheetViews>
  <sheetFormatPr defaultColWidth="9" defaultRowHeight="15.5" x14ac:dyDescent="0.35"/>
  <cols>
    <col min="1" max="1" width="28.61328125" style="74" bestFit="1" customWidth="1"/>
    <col min="2" max="5" width="20.61328125" style="74" customWidth="1"/>
    <col min="6" max="16384" width="9" style="74"/>
  </cols>
  <sheetData>
    <row r="1" spans="1:8" x14ac:dyDescent="0.35">
      <c r="A1" s="127" t="str">
        <f>Assumptions!A1</f>
        <v>C5 Farming, LLC</v>
      </c>
      <c r="F1" s="96"/>
      <c r="G1" s="95" t="s">
        <v>70</v>
      </c>
      <c r="H1" s="95"/>
    </row>
    <row r="2" spans="1:8" x14ac:dyDescent="0.35">
      <c r="A2" s="128" t="s">
        <v>265</v>
      </c>
      <c r="F2" s="97"/>
      <c r="G2" s="95" t="s">
        <v>71</v>
      </c>
      <c r="H2" s="95"/>
    </row>
    <row r="3" spans="1:8" x14ac:dyDescent="0.35">
      <c r="A3" s="127" t="str">
        <f>Assumptions!A3</f>
        <v>As of November 1, 2021</v>
      </c>
    </row>
    <row r="4" spans="1:8" x14ac:dyDescent="0.35">
      <c r="A4" s="129"/>
    </row>
    <row r="6" spans="1:8" x14ac:dyDescent="0.35">
      <c r="A6" s="81" t="s">
        <v>84</v>
      </c>
      <c r="B6" s="81" t="s">
        <v>266</v>
      </c>
      <c r="C6" s="81" t="s">
        <v>278</v>
      </c>
      <c r="D6" s="81" t="s">
        <v>268</v>
      </c>
      <c r="E6" s="81" t="s">
        <v>89</v>
      </c>
    </row>
    <row r="7" spans="1:8" x14ac:dyDescent="0.35">
      <c r="A7" s="218">
        <v>44561</v>
      </c>
      <c r="B7" s="81"/>
      <c r="C7" s="81"/>
      <c r="D7" s="81"/>
      <c r="E7" s="81"/>
    </row>
    <row r="8" spans="1:8" x14ac:dyDescent="0.35">
      <c r="A8" s="218">
        <v>44926</v>
      </c>
      <c r="B8" s="162">
        <f>_xlfn.DAYS(A8,A7)</f>
        <v>365</v>
      </c>
      <c r="C8" s="217">
        <v>1</v>
      </c>
      <c r="D8" s="214">
        <f>IF(C8&gt;=Assumptions!$C$48,Assumptions!$C$49,0)</f>
        <v>24950</v>
      </c>
      <c r="E8" s="214">
        <f>((Assumptions!$C$46/Assumptions!$C$47)*'Line of Credit'!B8)*D8</f>
        <v>1049.8059027777779</v>
      </c>
    </row>
    <row r="9" spans="1:8" x14ac:dyDescent="0.35">
      <c r="A9" s="218">
        <v>45291</v>
      </c>
      <c r="B9" s="162">
        <f t="shared" ref="B9:B17" si="0">_xlfn.DAYS(A9,A8)</f>
        <v>365</v>
      </c>
      <c r="C9" s="217">
        <v>2</v>
      </c>
      <c r="D9" s="215">
        <f>IF(C9&gt;=Assumptions!$C$48,Assumptions!$C$49,0)</f>
        <v>24950</v>
      </c>
      <c r="E9" s="216">
        <f>((Assumptions!$C$46/Assumptions!$C$47)*'Line of Credit'!B9)*D9</f>
        <v>1049.8059027777779</v>
      </c>
    </row>
    <row r="10" spans="1:8" x14ac:dyDescent="0.35">
      <c r="A10" s="218">
        <v>45657</v>
      </c>
      <c r="B10" s="162">
        <f t="shared" si="0"/>
        <v>366</v>
      </c>
      <c r="C10" s="217">
        <v>3</v>
      </c>
      <c r="D10" s="215">
        <f>IF(C10&gt;=Assumptions!$C$48,Assumptions!$C$49,0)</f>
        <v>24950</v>
      </c>
      <c r="E10" s="216">
        <f>((Assumptions!$C$46/Assumptions!$C$47)*'Line of Credit'!B10)*D10</f>
        <v>1052.6820833333334</v>
      </c>
    </row>
    <row r="11" spans="1:8" x14ac:dyDescent="0.35">
      <c r="A11" s="218">
        <v>46022</v>
      </c>
      <c r="B11" s="162">
        <f t="shared" si="0"/>
        <v>365</v>
      </c>
      <c r="C11" s="217">
        <v>4</v>
      </c>
      <c r="D11" s="215">
        <f>IF(C11&gt;=Assumptions!$C$48,Assumptions!$C$49,0)</f>
        <v>24950</v>
      </c>
      <c r="E11" s="216">
        <f>((Assumptions!$C$46/Assumptions!$C$47)*'Line of Credit'!B11)*D11</f>
        <v>1049.8059027777779</v>
      </c>
    </row>
    <row r="12" spans="1:8" x14ac:dyDescent="0.35">
      <c r="A12" s="218">
        <v>46387</v>
      </c>
      <c r="B12" s="162">
        <f t="shared" si="0"/>
        <v>365</v>
      </c>
      <c r="C12" s="217">
        <v>5</v>
      </c>
      <c r="D12" s="215">
        <f>IF(C12&gt;=Assumptions!$C$48,Assumptions!$C$49,0)</f>
        <v>24950</v>
      </c>
      <c r="E12" s="216">
        <f>((Assumptions!$C$46/Assumptions!$C$47)*'Line of Credit'!B12)*D12</f>
        <v>1049.8059027777779</v>
      </c>
    </row>
    <row r="13" spans="1:8" x14ac:dyDescent="0.35">
      <c r="A13" s="218">
        <v>46752</v>
      </c>
      <c r="B13" s="162">
        <f t="shared" si="0"/>
        <v>365</v>
      </c>
      <c r="C13" s="217">
        <v>6</v>
      </c>
      <c r="D13" s="215">
        <f>IF(C13&gt;=Assumptions!$C$48,Assumptions!$C$49,0)</f>
        <v>24950</v>
      </c>
      <c r="E13" s="216">
        <f>((Assumptions!$C$46/Assumptions!$C$47)*'Line of Credit'!B13)*D13</f>
        <v>1049.8059027777779</v>
      </c>
    </row>
    <row r="14" spans="1:8" x14ac:dyDescent="0.35">
      <c r="A14" s="218">
        <v>47118</v>
      </c>
      <c r="B14" s="162">
        <f t="shared" si="0"/>
        <v>366</v>
      </c>
      <c r="C14" s="217">
        <v>7</v>
      </c>
      <c r="D14" s="215">
        <f>IF(C14&gt;=Assumptions!$C$48,Assumptions!$C$49,0)</f>
        <v>24950</v>
      </c>
      <c r="E14" s="216">
        <f>((Assumptions!$C$46/Assumptions!$C$47)*'Line of Credit'!B14)*D14</f>
        <v>1052.6820833333334</v>
      </c>
    </row>
    <row r="15" spans="1:8" x14ac:dyDescent="0.35">
      <c r="A15" s="218">
        <v>47483</v>
      </c>
      <c r="B15" s="162">
        <f t="shared" si="0"/>
        <v>365</v>
      </c>
      <c r="C15" s="217">
        <v>8</v>
      </c>
      <c r="D15" s="215">
        <f>IF(C15&gt;=Assumptions!$C$48,Assumptions!$C$49,0)</f>
        <v>24950</v>
      </c>
      <c r="E15" s="216">
        <f>((Assumptions!$C$46/Assumptions!$C$47)*'Line of Credit'!B15)*D15</f>
        <v>1049.8059027777779</v>
      </c>
    </row>
    <row r="16" spans="1:8" x14ac:dyDescent="0.35">
      <c r="A16" s="218">
        <v>47848</v>
      </c>
      <c r="B16" s="162">
        <f t="shared" si="0"/>
        <v>365</v>
      </c>
      <c r="C16" s="217">
        <v>9</v>
      </c>
      <c r="D16" s="215">
        <f>IF(C16&gt;=Assumptions!$C$48,Assumptions!$C$49,0)</f>
        <v>24950</v>
      </c>
      <c r="E16" s="216">
        <f>((Assumptions!$C$46/Assumptions!$C$47)*'Line of Credit'!B16)*D16</f>
        <v>1049.8059027777779</v>
      </c>
    </row>
    <row r="17" spans="1:5" x14ac:dyDescent="0.35">
      <c r="A17" s="218">
        <v>48213</v>
      </c>
      <c r="B17" s="162">
        <f t="shared" si="0"/>
        <v>365</v>
      </c>
      <c r="C17" s="217">
        <v>10</v>
      </c>
      <c r="D17" s="215">
        <f>IF(C17&gt;=Assumptions!$C$48,Assumptions!$C$49,0)</f>
        <v>24950</v>
      </c>
      <c r="E17" s="216">
        <f>((Assumptions!$C$46/Assumptions!$C$47)*'Line of Credit'!B17)*D17</f>
        <v>1049.8059027777779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3E603-76CA-475E-A1DA-0AF8D18F485E}">
  <sheetPr>
    <tabColor theme="5" tint="0.59999389629810485"/>
  </sheetPr>
  <dimension ref="A1:H32"/>
  <sheetViews>
    <sheetView workbookViewId="0">
      <selection activeCell="B14" sqref="B14"/>
    </sheetView>
  </sheetViews>
  <sheetFormatPr defaultColWidth="9" defaultRowHeight="15" x14ac:dyDescent="0.3"/>
  <cols>
    <col min="1" max="1" width="46.84375" style="149" bestFit="1" customWidth="1"/>
    <col min="2" max="6" width="20.61328125" style="149" customWidth="1"/>
    <col min="7" max="16384" width="9" style="149"/>
  </cols>
  <sheetData>
    <row r="1" spans="1:8" ht="15.5" x14ac:dyDescent="0.35">
      <c r="A1" s="127" t="str">
        <f>Assumptions!A1</f>
        <v>C5 Farming, LLC</v>
      </c>
      <c r="G1" s="96"/>
      <c r="H1" s="95" t="s">
        <v>70</v>
      </c>
    </row>
    <row r="2" spans="1:8" ht="15.5" x14ac:dyDescent="0.35">
      <c r="A2" s="128" t="s">
        <v>206</v>
      </c>
      <c r="G2" s="97"/>
      <c r="H2" s="95" t="s">
        <v>71</v>
      </c>
    </row>
    <row r="3" spans="1:8" x14ac:dyDescent="0.3">
      <c r="A3" s="152" t="str">
        <f>CONCATENATE("Sale -"," ",Assumptions!$C$19," Years","; ",Assumptions!C21," acres")</f>
        <v>Sale - 6 Years; 116 acres</v>
      </c>
    </row>
    <row r="5" spans="1:8" x14ac:dyDescent="0.3">
      <c r="A5" s="171"/>
      <c r="B5" s="171"/>
      <c r="C5" s="171"/>
      <c r="D5" s="171"/>
      <c r="E5" s="171"/>
      <c r="F5" s="171"/>
    </row>
    <row r="6" spans="1:8" ht="15.5" x14ac:dyDescent="0.35">
      <c r="A6" s="80" t="s">
        <v>195</v>
      </c>
      <c r="B6" s="74"/>
      <c r="C6" s="74"/>
      <c r="D6" s="74"/>
      <c r="E6" s="74"/>
      <c r="F6" s="74"/>
    </row>
    <row r="7" spans="1:8" ht="15.5" x14ac:dyDescent="0.35">
      <c r="A7" s="74"/>
      <c r="B7" s="81" t="s">
        <v>211</v>
      </c>
      <c r="C7" s="81" t="s">
        <v>196</v>
      </c>
      <c r="D7" s="81" t="s">
        <v>197</v>
      </c>
      <c r="E7" s="81" t="s">
        <v>198</v>
      </c>
      <c r="F7" s="81" t="s">
        <v>199</v>
      </c>
    </row>
    <row r="8" spans="1:8" ht="15.5" x14ac:dyDescent="0.35">
      <c r="A8" s="74" t="s">
        <v>200</v>
      </c>
      <c r="B8" s="105">
        <f>Proforma!$C$10</f>
        <v>20000</v>
      </c>
      <c r="C8" s="161">
        <f>FV(Assumptions!$C$23,Assumptions!$C$19,0,-1)</f>
        <v>1.4185191122560006</v>
      </c>
      <c r="D8" s="82">
        <f>C8*B8</f>
        <v>28370.38224512001</v>
      </c>
      <c r="E8" s="162">
        <f>Assumptions!C21</f>
        <v>116</v>
      </c>
      <c r="F8" s="82">
        <f>ROUND(E8*D8,-4)</f>
        <v>3290000</v>
      </c>
    </row>
    <row r="9" spans="1:8" ht="15.5" x14ac:dyDescent="0.35">
      <c r="A9" s="74" t="s">
        <v>201</v>
      </c>
      <c r="B9" s="110">
        <f>ROUND(((Assumptions!$C$34+Assumptions!$C$35)/Assumptions!$C$7)-B8,-3)</f>
        <v>16000</v>
      </c>
      <c r="C9" s="161">
        <f>FV(Assumptions!$C$24,Assumptions!$C$19,0,-1)</f>
        <v>0.8858423808639998</v>
      </c>
      <c r="D9" s="82">
        <f>C9*B9</f>
        <v>14173.478093823996</v>
      </c>
      <c r="E9" s="162">
        <f>Assumptions!C21</f>
        <v>116</v>
      </c>
      <c r="F9" s="82">
        <f>ROUND(E9*D9,-4)</f>
        <v>1640000</v>
      </c>
    </row>
    <row r="10" spans="1:8" ht="15.5" x14ac:dyDescent="0.35">
      <c r="A10" s="153"/>
      <c r="B10" s="154"/>
      <c r="C10" s="155"/>
      <c r="D10" s="154"/>
      <c r="E10" s="154"/>
      <c r="F10" s="84">
        <f>SUM(F8:F9)</f>
        <v>4930000</v>
      </c>
    </row>
    <row r="11" spans="1:8" ht="15.5" x14ac:dyDescent="0.35">
      <c r="A11" s="80" t="s">
        <v>202</v>
      </c>
      <c r="B11" s="83"/>
      <c r="C11" s="156"/>
      <c r="D11" s="83"/>
      <c r="E11" s="83"/>
      <c r="F11" s="83"/>
    </row>
    <row r="12" spans="1:8" ht="15.5" x14ac:dyDescent="0.35">
      <c r="A12" s="74"/>
      <c r="B12" s="81" t="s">
        <v>211</v>
      </c>
      <c r="C12" s="159" t="s">
        <v>196</v>
      </c>
      <c r="D12" s="158" t="s">
        <v>197</v>
      </c>
      <c r="E12" s="85" t="s">
        <v>198</v>
      </c>
      <c r="F12" s="85" t="s">
        <v>199</v>
      </c>
    </row>
    <row r="13" spans="1:8" ht="15.5" x14ac:dyDescent="0.35">
      <c r="A13" s="157"/>
      <c r="B13" s="166">
        <f>Assumptions!$C$22</f>
        <v>20000</v>
      </c>
      <c r="C13" s="167">
        <f>FV(Assumptions!$C$15,Assumptions!$C$19,0,-1)</f>
        <v>1.4185191122560006</v>
      </c>
      <c r="D13" s="166">
        <f>C13*B13</f>
        <v>28370.38224512001</v>
      </c>
      <c r="E13" s="168">
        <f>Assumptions!$C$21</f>
        <v>116</v>
      </c>
      <c r="F13" s="88">
        <f>ROUND(E13*D13,-4)</f>
        <v>3290000</v>
      </c>
    </row>
    <row r="14" spans="1:8" ht="15.5" x14ac:dyDescent="0.35">
      <c r="A14" s="74"/>
      <c r="B14" s="109"/>
      <c r="C14" s="160"/>
      <c r="D14" s="109"/>
      <c r="E14" s="83"/>
      <c r="F14" s="83"/>
    </row>
    <row r="15" spans="1:8" ht="15.5" x14ac:dyDescent="0.35">
      <c r="A15" s="80" t="s">
        <v>203</v>
      </c>
      <c r="B15" s="109"/>
      <c r="C15" s="160"/>
      <c r="D15" s="109"/>
      <c r="E15" s="83"/>
      <c r="F15" s="83"/>
    </row>
    <row r="16" spans="1:8" ht="15.5" x14ac:dyDescent="0.35">
      <c r="A16" s="74"/>
      <c r="B16" s="158" t="s">
        <v>204</v>
      </c>
      <c r="C16" s="159" t="s">
        <v>205</v>
      </c>
      <c r="D16" s="158" t="s">
        <v>197</v>
      </c>
      <c r="E16" s="85" t="s">
        <v>198</v>
      </c>
      <c r="F16" s="85" t="s">
        <v>199</v>
      </c>
    </row>
    <row r="17" spans="1:6" ht="15.5" x14ac:dyDescent="0.35">
      <c r="A17" s="157"/>
      <c r="B17" s="166">
        <f>Proforma!R74+Proforma!R63+Proforma!R61</f>
        <v>2395.6381073895827</v>
      </c>
      <c r="C17" s="172">
        <f>Assumptions!$C$18</f>
        <v>0.05</v>
      </c>
      <c r="D17" s="166">
        <f>B17/C17</f>
        <v>47912.762147791655</v>
      </c>
      <c r="E17" s="168">
        <f>Assumptions!$C$21</f>
        <v>116</v>
      </c>
      <c r="F17" s="88">
        <f>ROUND(D17*E17,-4)</f>
        <v>5560000</v>
      </c>
    </row>
    <row r="18" spans="1:6" ht="15.5" x14ac:dyDescent="0.35">
      <c r="A18" s="74"/>
      <c r="B18" s="74"/>
      <c r="C18" s="74"/>
      <c r="D18" s="74"/>
      <c r="E18" s="74"/>
      <c r="F18" s="74"/>
    </row>
    <row r="19" spans="1:6" ht="15.5" x14ac:dyDescent="0.35">
      <c r="A19" s="157"/>
      <c r="B19" s="157"/>
      <c r="C19" s="157"/>
      <c r="D19" s="157"/>
      <c r="E19" s="165" t="s">
        <v>213</v>
      </c>
      <c r="F19" s="170">
        <f>ROUND(AVERAGE(F13,SUM(F8:F9)),-4)</f>
        <v>4110000</v>
      </c>
    </row>
    <row r="21" spans="1:6" x14ac:dyDescent="0.3">
      <c r="B21" s="150" t="s">
        <v>0</v>
      </c>
      <c r="C21" s="150" t="s">
        <v>79</v>
      </c>
    </row>
    <row r="22" spans="1:6" x14ac:dyDescent="0.3">
      <c r="A22" s="149" t="s">
        <v>207</v>
      </c>
      <c r="B22" s="346">
        <f>+F19</f>
        <v>4110000</v>
      </c>
      <c r="C22" s="229">
        <f>ROUND(B22/Assumptions!$C$21,0)</f>
        <v>35431</v>
      </c>
    </row>
    <row r="23" spans="1:6" x14ac:dyDescent="0.3">
      <c r="A23" s="149" t="s">
        <v>209</v>
      </c>
      <c r="B23" s="230">
        <f>-$F$19*Assumptions!$B$37</f>
        <v>-127410</v>
      </c>
      <c r="C23" s="229">
        <f>ROUND(B23/Assumptions!C21,0)</f>
        <v>-1098</v>
      </c>
    </row>
    <row r="24" spans="1:6" x14ac:dyDescent="0.3">
      <c r="A24" s="163" t="s">
        <v>208</v>
      </c>
      <c r="B24" s="229">
        <f>B22+B23</f>
        <v>3982590</v>
      </c>
      <c r="C24" s="235">
        <f>C22+C23</f>
        <v>34333</v>
      </c>
    </row>
    <row r="25" spans="1:6" x14ac:dyDescent="0.3">
      <c r="A25" s="163"/>
      <c r="B25" s="231"/>
      <c r="C25" s="236"/>
    </row>
    <row r="26" spans="1:6" x14ac:dyDescent="0.3">
      <c r="A26" s="149" t="s">
        <v>288</v>
      </c>
      <c r="B26" s="232">
        <f>B24</f>
        <v>3982590</v>
      </c>
      <c r="C26" s="232">
        <f>ROUND(B26/E8,0)</f>
        <v>34333</v>
      </c>
    </row>
    <row r="27" spans="1:6" x14ac:dyDescent="0.3">
      <c r="B27" s="233"/>
      <c r="C27" s="233"/>
    </row>
    <row r="28" spans="1:6" ht="15.5" thickBot="1" x14ac:dyDescent="0.35">
      <c r="A28" s="149" t="s">
        <v>289</v>
      </c>
      <c r="B28" s="234">
        <f>B24-B26</f>
        <v>0</v>
      </c>
      <c r="C28" s="234">
        <f>C24-C26</f>
        <v>0</v>
      </c>
    </row>
    <row r="29" spans="1:6" ht="15.5" thickTop="1" x14ac:dyDescent="0.3"/>
    <row r="30" spans="1:6" x14ac:dyDescent="0.3">
      <c r="B30" s="198"/>
      <c r="C30" s="198"/>
    </row>
    <row r="31" spans="1:6" ht="15.5" x14ac:dyDescent="0.35">
      <c r="A31" s="120"/>
      <c r="C31" s="197"/>
    </row>
    <row r="32" spans="1:6" ht="15.5" x14ac:dyDescent="0.35">
      <c r="A32" s="120"/>
    </row>
  </sheetData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58A42-7228-4230-96CE-3FFA96B15387}">
  <sheetPr>
    <tabColor theme="5" tint="0.59999389629810485"/>
  </sheetPr>
  <dimension ref="A1:H33"/>
  <sheetViews>
    <sheetView topLeftCell="A4" workbookViewId="0">
      <selection activeCell="B17" sqref="B17"/>
    </sheetView>
  </sheetViews>
  <sheetFormatPr defaultColWidth="9" defaultRowHeight="15" x14ac:dyDescent="0.3"/>
  <cols>
    <col min="1" max="1" width="63" style="149" bestFit="1" customWidth="1"/>
    <col min="2" max="6" width="20.61328125" style="149" customWidth="1"/>
    <col min="7" max="16384" width="9" style="149"/>
  </cols>
  <sheetData>
    <row r="1" spans="1:8" ht="15.5" x14ac:dyDescent="0.35">
      <c r="A1" s="127" t="str">
        <f>Assumptions!A1</f>
        <v>C5 Farming, LLC</v>
      </c>
      <c r="G1" s="96"/>
      <c r="H1" s="95" t="s">
        <v>70</v>
      </c>
    </row>
    <row r="2" spans="1:8" ht="15.5" x14ac:dyDescent="0.35">
      <c r="A2" s="128" t="s">
        <v>206</v>
      </c>
      <c r="G2" s="97"/>
      <c r="H2" s="95" t="s">
        <v>71</v>
      </c>
    </row>
    <row r="3" spans="1:8" x14ac:dyDescent="0.3">
      <c r="A3" s="152" t="str">
        <f>CONCATENATE("Hold period -"," ",Assumptions!C17," Years")</f>
        <v>Hold period - 10 Years</v>
      </c>
    </row>
    <row r="5" spans="1:8" x14ac:dyDescent="0.3">
      <c r="A5" s="171"/>
      <c r="B5" s="171"/>
      <c r="C5" s="171"/>
      <c r="D5" s="171"/>
      <c r="E5" s="171"/>
      <c r="F5" s="171"/>
    </row>
    <row r="6" spans="1:8" ht="15.5" x14ac:dyDescent="0.35">
      <c r="A6" s="80" t="s">
        <v>195</v>
      </c>
      <c r="B6" s="74"/>
      <c r="C6" s="74"/>
      <c r="D6" s="74"/>
      <c r="E6" s="74"/>
      <c r="F6" s="74"/>
    </row>
    <row r="7" spans="1:8" ht="15.5" x14ac:dyDescent="0.35">
      <c r="A7" s="74"/>
      <c r="B7" s="81" t="s">
        <v>211</v>
      </c>
      <c r="C7" s="81" t="s">
        <v>196</v>
      </c>
      <c r="D7" s="81" t="s">
        <v>197</v>
      </c>
      <c r="E7" s="81" t="s">
        <v>198</v>
      </c>
      <c r="F7" s="81" t="s">
        <v>199</v>
      </c>
    </row>
    <row r="8" spans="1:8" ht="15.5" x14ac:dyDescent="0.35">
      <c r="A8" s="74" t="s">
        <v>200</v>
      </c>
      <c r="B8" s="105">
        <f>Proforma!C10</f>
        <v>20000</v>
      </c>
      <c r="C8" s="161">
        <f>FV(Assumptions!$C$15,Assumptions!$C$17,0,-1)</f>
        <v>1.7908476965428546</v>
      </c>
      <c r="D8" s="82">
        <f>C8*B8</f>
        <v>35816.953930857089</v>
      </c>
      <c r="E8" s="162">
        <f>Assumptions!$C$7-Sale!$E$8</f>
        <v>371</v>
      </c>
      <c r="F8" s="82">
        <f>ROUND(E8*D8,-4)</f>
        <v>13290000</v>
      </c>
    </row>
    <row r="9" spans="1:8" ht="15.5" x14ac:dyDescent="0.35">
      <c r="A9" s="74" t="s">
        <v>201</v>
      </c>
      <c r="B9" s="110">
        <f>ROUND(((Assumptions!$C$34+Assumptions!$C$35)/Assumptions!$C$7)-B8,-3)</f>
        <v>16000</v>
      </c>
      <c r="C9" s="161">
        <f>FV(Assumptions!$C$16,Assumptions!$C$17,0,-1)</f>
        <v>0.81707280688754658</v>
      </c>
      <c r="D9" s="82">
        <f>C9*B9</f>
        <v>13073.164910200745</v>
      </c>
      <c r="E9" s="162">
        <f>Assumptions!$C$8-Sale!$E$9</f>
        <v>341</v>
      </c>
      <c r="F9" s="82">
        <f>ROUND(E9*D9,-4)</f>
        <v>4460000</v>
      </c>
    </row>
    <row r="10" spans="1:8" ht="15.5" x14ac:dyDescent="0.35">
      <c r="A10" s="153"/>
      <c r="B10" s="154"/>
      <c r="C10" s="155"/>
      <c r="D10" s="154"/>
      <c r="E10" s="154"/>
      <c r="F10" s="84">
        <f>SUM(F8:F9)</f>
        <v>17750000</v>
      </c>
    </row>
    <row r="11" spans="1:8" ht="15.5" x14ac:dyDescent="0.35">
      <c r="A11" s="80" t="s">
        <v>202</v>
      </c>
      <c r="B11" s="83"/>
      <c r="C11" s="156"/>
      <c r="D11" s="83"/>
      <c r="E11" s="83"/>
      <c r="F11" s="83"/>
    </row>
    <row r="12" spans="1:8" ht="15.5" x14ac:dyDescent="0.35">
      <c r="A12" s="74"/>
      <c r="B12" s="81" t="s">
        <v>211</v>
      </c>
      <c r="C12" s="159" t="s">
        <v>196</v>
      </c>
      <c r="D12" s="158" t="s">
        <v>197</v>
      </c>
      <c r="E12" s="85" t="s">
        <v>198</v>
      </c>
      <c r="F12" s="85" t="s">
        <v>199</v>
      </c>
    </row>
    <row r="13" spans="1:8" ht="15.5" x14ac:dyDescent="0.35">
      <c r="A13" s="157"/>
      <c r="B13" s="166">
        <f>(Assumptions!$C$34+Assumptions!$C$35)/Assumptions!$C$7</f>
        <v>35752.82340862423</v>
      </c>
      <c r="C13" s="167">
        <f>FV(Assumptions!$C$15,Assumptions!$C$17,0,-1)</f>
        <v>1.7908476965428546</v>
      </c>
      <c r="D13" s="166">
        <f>C13*B13</f>
        <v>64027.861446238152</v>
      </c>
      <c r="E13" s="168">
        <f>Assumptions!$C$7-Sale!$E$13</f>
        <v>371</v>
      </c>
      <c r="F13" s="88">
        <f>ROUND(E13*D13,-4)</f>
        <v>23750000</v>
      </c>
    </row>
    <row r="14" spans="1:8" ht="15.5" x14ac:dyDescent="0.35">
      <c r="A14" s="74"/>
      <c r="B14" s="109"/>
      <c r="C14" s="160"/>
      <c r="D14" s="109"/>
      <c r="E14" s="83"/>
      <c r="F14" s="83"/>
    </row>
    <row r="15" spans="1:8" ht="15.5" x14ac:dyDescent="0.35">
      <c r="A15" s="80" t="s">
        <v>203</v>
      </c>
      <c r="B15" s="109"/>
      <c r="C15" s="160"/>
      <c r="D15" s="109"/>
      <c r="E15" s="83"/>
      <c r="F15" s="83"/>
    </row>
    <row r="16" spans="1:8" ht="15.5" x14ac:dyDescent="0.35">
      <c r="A16" s="74"/>
      <c r="B16" s="158" t="s">
        <v>204</v>
      </c>
      <c r="C16" s="159" t="s">
        <v>205</v>
      </c>
      <c r="D16" s="158" t="s">
        <v>197</v>
      </c>
      <c r="E16" s="85" t="s">
        <v>198</v>
      </c>
      <c r="F16" s="85" t="s">
        <v>199</v>
      </c>
    </row>
    <row r="17" spans="1:6" ht="15.5" x14ac:dyDescent="0.35">
      <c r="A17" s="157"/>
      <c r="B17" s="166">
        <f>+Proforma!AD110</f>
        <v>3402</v>
      </c>
      <c r="C17" s="172">
        <f>Assumptions!C18</f>
        <v>0.05</v>
      </c>
      <c r="D17" s="166">
        <f>B17/C17</f>
        <v>68040</v>
      </c>
      <c r="E17" s="168">
        <f>Assumptions!$C$8-Sale!$E$17</f>
        <v>341</v>
      </c>
      <c r="F17" s="88">
        <f>ROUND(D17*E17,-4)</f>
        <v>23200000</v>
      </c>
    </row>
    <row r="18" spans="1:6" ht="15.5" x14ac:dyDescent="0.35">
      <c r="A18" s="74"/>
      <c r="B18" s="74"/>
      <c r="C18" s="74"/>
      <c r="D18" s="74"/>
      <c r="E18" s="74"/>
      <c r="F18" s="74"/>
    </row>
    <row r="19" spans="1:6" ht="15.5" x14ac:dyDescent="0.35">
      <c r="A19" s="157"/>
      <c r="B19" s="157"/>
      <c r="C19" s="157"/>
      <c r="D19" s="157"/>
      <c r="E19" s="164" t="s">
        <v>213</v>
      </c>
      <c r="F19" s="170">
        <f>ROUND(AVERAGE(F17,F13,SUM(F8:F9)),-4)</f>
        <v>21570000</v>
      </c>
    </row>
    <row r="21" spans="1:6" x14ac:dyDescent="0.3">
      <c r="B21" s="150" t="s">
        <v>0</v>
      </c>
      <c r="C21" s="150" t="s">
        <v>79</v>
      </c>
    </row>
    <row r="22" spans="1:6" x14ac:dyDescent="0.3">
      <c r="A22" s="149" t="s">
        <v>207</v>
      </c>
      <c r="B22" s="227">
        <f>F19</f>
        <v>21570000</v>
      </c>
      <c r="C22" s="229">
        <f>ROUND(B22/E8,0)</f>
        <v>58140</v>
      </c>
    </row>
    <row r="23" spans="1:6" x14ac:dyDescent="0.3">
      <c r="A23" s="149" t="s">
        <v>209</v>
      </c>
      <c r="B23" s="228">
        <f>-$F$19*Assumptions!$B$37</f>
        <v>-668670</v>
      </c>
      <c r="C23" s="229">
        <f>ROUND(B23/E8,0)</f>
        <v>-1802</v>
      </c>
    </row>
    <row r="24" spans="1:6" x14ac:dyDescent="0.3">
      <c r="A24" s="163" t="s">
        <v>208</v>
      </c>
      <c r="B24" s="227">
        <f>B22+B23</f>
        <v>20901330</v>
      </c>
      <c r="C24" s="235">
        <f>C22+C23</f>
        <v>56338</v>
      </c>
    </row>
    <row r="25" spans="1:6" x14ac:dyDescent="0.3">
      <c r="B25" s="237"/>
      <c r="C25" s="239"/>
    </row>
    <row r="26" spans="1:6" x14ac:dyDescent="0.3">
      <c r="A26" s="149" t="s">
        <v>288</v>
      </c>
      <c r="B26" s="228">
        <f>ROUND((Proforma!$AC$16-Proforma!$AF$61-Proforma!$AF$94),0)</f>
        <v>7441110</v>
      </c>
      <c r="C26" s="232">
        <f>ROUND(B26/E8,0)</f>
        <v>20057</v>
      </c>
    </row>
    <row r="27" spans="1:6" x14ac:dyDescent="0.3">
      <c r="B27" s="237"/>
      <c r="C27" s="233"/>
    </row>
    <row r="28" spans="1:6" ht="15.5" thickBot="1" x14ac:dyDescent="0.35">
      <c r="A28" s="149" t="s">
        <v>287</v>
      </c>
      <c r="B28" s="238">
        <f>$B$24-$B$26</f>
        <v>13460220</v>
      </c>
      <c r="C28" s="234">
        <f>C24-C26</f>
        <v>36281</v>
      </c>
    </row>
    <row r="29" spans="1:6" ht="15.5" thickTop="1" x14ac:dyDescent="0.3"/>
    <row r="30" spans="1:6" x14ac:dyDescent="0.3">
      <c r="A30" s="149" t="s">
        <v>291</v>
      </c>
      <c r="B30" s="228">
        <f>ROUND('Loan Ammortization'!$G$16+'Line of Credit'!D17,0)</f>
        <v>6621038</v>
      </c>
      <c r="C30" s="230">
        <f>B30/E8</f>
        <v>17846.463611859839</v>
      </c>
    </row>
    <row r="32" spans="1:6" ht="15.5" thickBot="1" x14ac:dyDescent="0.35">
      <c r="A32" s="149" t="s">
        <v>292</v>
      </c>
      <c r="B32" s="234">
        <f>B24-B30</f>
        <v>14280292</v>
      </c>
      <c r="C32" s="234">
        <f>B32/E8</f>
        <v>38491.353099730455</v>
      </c>
    </row>
    <row r="33" ht="15.5" thickTop="1" x14ac:dyDescent="0.3"/>
  </sheetData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58"/>
  <sheetViews>
    <sheetView workbookViewId="0"/>
  </sheetViews>
  <sheetFormatPr defaultColWidth="8.61328125" defaultRowHeight="13.5" x14ac:dyDescent="0.3"/>
  <cols>
    <col min="1" max="1" width="26.15234375" style="14" bestFit="1" customWidth="1"/>
    <col min="2" max="2" width="11.61328125" style="14" bestFit="1" customWidth="1"/>
    <col min="3" max="3" width="8.61328125" style="14" bestFit="1" customWidth="1"/>
    <col min="4" max="4" width="1.61328125" style="32" customWidth="1"/>
    <col min="5" max="5" width="11.61328125" style="14" bestFit="1" customWidth="1"/>
    <col min="6" max="6" width="8" style="14" bestFit="1" customWidth="1"/>
    <col min="7" max="7" width="1.61328125" style="32" customWidth="1"/>
    <col min="8" max="8" width="10.61328125" style="14" bestFit="1" customWidth="1"/>
    <col min="9" max="9" width="8" style="14" bestFit="1" customWidth="1"/>
    <col min="10" max="10" width="1.61328125" style="32" customWidth="1"/>
    <col min="11" max="12" width="8.61328125" style="14"/>
    <col min="13" max="13" width="11.15234375" style="14" bestFit="1" customWidth="1"/>
    <col min="14" max="16384" width="8.61328125" style="14"/>
  </cols>
  <sheetData>
    <row r="1" spans="1:10" x14ac:dyDescent="0.3">
      <c r="A1" s="65" t="s">
        <v>52</v>
      </c>
      <c r="C1" s="29"/>
      <c r="D1" s="29"/>
      <c r="E1" s="29"/>
      <c r="F1" s="29"/>
      <c r="G1" s="29"/>
      <c r="H1" s="29"/>
      <c r="I1" s="29"/>
      <c r="J1" s="29"/>
    </row>
    <row r="2" spans="1:10" x14ac:dyDescent="0.3">
      <c r="A2" s="65" t="s">
        <v>19</v>
      </c>
      <c r="C2" s="29"/>
      <c r="D2" s="29"/>
      <c r="E2" s="29"/>
      <c r="F2" s="29"/>
      <c r="G2" s="29"/>
      <c r="H2" s="29"/>
      <c r="I2" s="29"/>
      <c r="J2" s="29"/>
    </row>
    <row r="3" spans="1:10" x14ac:dyDescent="0.3">
      <c r="A3" s="63" t="s">
        <v>59</v>
      </c>
      <c r="C3" s="29"/>
      <c r="D3" s="29"/>
      <c r="E3" s="29"/>
      <c r="F3" s="29"/>
      <c r="G3" s="29"/>
      <c r="H3" s="29"/>
      <c r="I3" s="29"/>
      <c r="J3" s="29"/>
    </row>
    <row r="4" spans="1:10" x14ac:dyDescent="0.3">
      <c r="C4" s="29"/>
      <c r="D4" s="29"/>
      <c r="E4" s="29"/>
      <c r="F4" s="29"/>
      <c r="G4" s="29"/>
      <c r="H4" s="29"/>
      <c r="I4" s="29"/>
      <c r="J4" s="29"/>
    </row>
    <row r="5" spans="1:10" x14ac:dyDescent="0.3">
      <c r="A5" s="66" t="s">
        <v>25</v>
      </c>
      <c r="B5" s="67" t="e">
        <f>#REF!</f>
        <v>#REF!</v>
      </c>
      <c r="C5" s="30"/>
      <c r="D5" s="30"/>
      <c r="E5" s="29"/>
      <c r="F5" s="29"/>
      <c r="G5" s="29"/>
      <c r="H5" s="29"/>
      <c r="I5" s="29"/>
      <c r="J5" s="29"/>
    </row>
    <row r="6" spans="1:10" x14ac:dyDescent="0.3">
      <c r="C6" s="29"/>
      <c r="D6" s="29"/>
      <c r="E6" s="29"/>
      <c r="F6" s="29"/>
      <c r="G6" s="29"/>
      <c r="H6" s="29"/>
      <c r="I6" s="29"/>
      <c r="J6" s="29"/>
    </row>
    <row r="7" spans="1:10" x14ac:dyDescent="0.3">
      <c r="A7" s="379"/>
      <c r="B7" s="379"/>
      <c r="C7" s="379"/>
      <c r="D7" s="379"/>
      <c r="E7" s="379"/>
      <c r="F7" s="379"/>
      <c r="G7" s="379"/>
      <c r="H7" s="379"/>
      <c r="I7" s="379"/>
      <c r="J7" s="379"/>
    </row>
    <row r="8" spans="1:10" x14ac:dyDescent="0.3">
      <c r="A8" s="15" t="s">
        <v>26</v>
      </c>
      <c r="B8" s="380">
        <v>2021</v>
      </c>
      <c r="C8" s="380"/>
      <c r="D8" s="33"/>
      <c r="E8" s="380">
        <f>B8+1</f>
        <v>2022</v>
      </c>
      <c r="F8" s="380"/>
      <c r="G8" s="33"/>
      <c r="H8" s="380">
        <f>E8+1</f>
        <v>2023</v>
      </c>
      <c r="I8" s="380"/>
      <c r="J8" s="33"/>
    </row>
    <row r="9" spans="1:10" x14ac:dyDescent="0.3">
      <c r="A9" s="15" t="s">
        <v>3</v>
      </c>
      <c r="B9" s="382">
        <v>0</v>
      </c>
      <c r="C9" s="382"/>
      <c r="D9" s="34"/>
      <c r="E9" s="380">
        <f>B9+1</f>
        <v>1</v>
      </c>
      <c r="F9" s="380"/>
      <c r="G9" s="33"/>
      <c r="H9" s="380">
        <f>E9+1</f>
        <v>2</v>
      </c>
      <c r="I9" s="380"/>
      <c r="J9" s="33"/>
    </row>
    <row r="10" spans="1:10" x14ac:dyDescent="0.3">
      <c r="A10" s="15"/>
      <c r="B10" s="28" t="s">
        <v>0</v>
      </c>
      <c r="C10" s="28" t="s">
        <v>45</v>
      </c>
      <c r="D10" s="35"/>
      <c r="E10" s="28" t="s">
        <v>0</v>
      </c>
      <c r="F10" s="28" t="s">
        <v>45</v>
      </c>
      <c r="G10" s="35"/>
      <c r="H10" s="28" t="s">
        <v>0</v>
      </c>
      <c r="I10" s="28" t="s">
        <v>45</v>
      </c>
      <c r="J10" s="35"/>
    </row>
    <row r="11" spans="1:10" x14ac:dyDescent="0.3">
      <c r="A11" s="15" t="s">
        <v>27</v>
      </c>
      <c r="B11" s="16" t="e">
        <f>C11*$B$5</f>
        <v>#REF!</v>
      </c>
      <c r="C11" s="19">
        <v>0</v>
      </c>
      <c r="D11" s="36"/>
      <c r="E11" s="16" t="e">
        <f>F11*$B$5</f>
        <v>#REF!</v>
      </c>
      <c r="F11" s="19">
        <v>0</v>
      </c>
      <c r="G11" s="36"/>
      <c r="H11" s="16" t="e">
        <f>I11*$B$5</f>
        <v>#REF!</v>
      </c>
      <c r="I11" s="19">
        <v>0</v>
      </c>
      <c r="J11" s="36"/>
    </row>
    <row r="12" spans="1:10" x14ac:dyDescent="0.3">
      <c r="A12" s="15" t="s">
        <v>28</v>
      </c>
      <c r="B12" s="381" t="e">
        <f>#REF!</f>
        <v>#REF!</v>
      </c>
      <c r="C12" s="381"/>
      <c r="D12" s="37"/>
      <c r="E12" s="381" t="e">
        <f>B12*(1+#REF!)</f>
        <v>#REF!</v>
      </c>
      <c r="F12" s="381"/>
      <c r="G12" s="37"/>
      <c r="H12" s="381" t="e">
        <f>E12*(1+#REF!)</f>
        <v>#REF!</v>
      </c>
      <c r="I12" s="381"/>
      <c r="J12" s="37"/>
    </row>
    <row r="13" spans="1:10" x14ac:dyDescent="0.3">
      <c r="A13" s="58" t="s">
        <v>47</v>
      </c>
      <c r="B13" s="13">
        <v>0</v>
      </c>
      <c r="C13" s="51">
        <v>0</v>
      </c>
      <c r="D13" s="52"/>
      <c r="E13" s="13" t="e">
        <f>F13*$B$5</f>
        <v>#REF!</v>
      </c>
      <c r="F13" s="51" t="e">
        <f>C11*B12</f>
        <v>#REF!</v>
      </c>
      <c r="G13" s="52"/>
      <c r="H13" s="13" t="e">
        <f>I13*$B$5</f>
        <v>#REF!</v>
      </c>
      <c r="I13" s="51" t="e">
        <f>F11*E12</f>
        <v>#REF!</v>
      </c>
      <c r="J13" s="52"/>
    </row>
    <row r="14" spans="1:10" x14ac:dyDescent="0.3">
      <c r="A14" s="15"/>
    </row>
    <row r="15" spans="1:10" x14ac:dyDescent="0.3">
      <c r="A15" s="15"/>
    </row>
    <row r="16" spans="1:10" x14ac:dyDescent="0.3">
      <c r="A16" s="15" t="s">
        <v>29</v>
      </c>
      <c r="B16" s="13" t="e">
        <f>C16*$B$5</f>
        <v>#REF!</v>
      </c>
      <c r="C16" s="13" t="e">
        <f>#REF!</f>
        <v>#REF!</v>
      </c>
      <c r="D16" s="39"/>
      <c r="E16" s="13"/>
      <c r="F16" s="13"/>
      <c r="G16" s="39"/>
      <c r="H16" s="13"/>
      <c r="I16" s="13"/>
      <c r="J16" s="39"/>
    </row>
    <row r="17" spans="1:10" x14ac:dyDescent="0.3">
      <c r="A17" s="15" t="s">
        <v>22</v>
      </c>
      <c r="B17" s="13" t="e">
        <f>C17*$B$5</f>
        <v>#REF!</v>
      </c>
      <c r="C17" s="53" t="e">
        <f>#REF!</f>
        <v>#REF!</v>
      </c>
      <c r="D17" s="39"/>
      <c r="E17" s="13"/>
      <c r="F17" s="13"/>
      <c r="G17" s="39"/>
      <c r="H17" s="13"/>
      <c r="I17" s="13"/>
      <c r="J17" s="39"/>
    </row>
    <row r="18" spans="1:10" x14ac:dyDescent="0.3">
      <c r="A18" s="15" t="s">
        <v>48</v>
      </c>
      <c r="B18" s="13" t="e">
        <f>C18*$B$5</f>
        <v>#REF!</v>
      </c>
      <c r="C18" s="53">
        <v>400</v>
      </c>
      <c r="D18" s="39"/>
      <c r="E18" s="13"/>
      <c r="F18" s="13"/>
      <c r="G18" s="39"/>
      <c r="H18" s="13"/>
      <c r="I18" s="13"/>
      <c r="J18" s="39"/>
    </row>
    <row r="19" spans="1:10" x14ac:dyDescent="0.3">
      <c r="A19" s="15" t="s">
        <v>60</v>
      </c>
      <c r="B19" s="13" t="e">
        <f>C19*$B$5</f>
        <v>#REF!</v>
      </c>
      <c r="C19" s="22" t="e">
        <f>#REF!+#REF!</f>
        <v>#REF!</v>
      </c>
      <c r="D19" s="47"/>
      <c r="E19" s="13" t="e">
        <f>F19*$B$5</f>
        <v>#REF!</v>
      </c>
      <c r="F19" s="22" t="e">
        <f>#REF!+#REF!</f>
        <v>#REF!</v>
      </c>
      <c r="G19" s="47"/>
      <c r="H19" s="13" t="e">
        <f>I19*$B$5</f>
        <v>#REF!</v>
      </c>
      <c r="I19" s="22" t="e">
        <f>#REF!+#REF!</f>
        <v>#REF!</v>
      </c>
      <c r="J19" s="47"/>
    </row>
    <row r="20" spans="1:10" x14ac:dyDescent="0.3">
      <c r="A20" s="15" t="s">
        <v>23</v>
      </c>
      <c r="B20" s="13" t="e">
        <f>C20*$B$5</f>
        <v>#REF!</v>
      </c>
      <c r="C20" s="22" t="e">
        <f>#REF!/B5</f>
        <v>#REF!</v>
      </c>
      <c r="D20" s="47"/>
      <c r="E20" s="13"/>
      <c r="F20" s="21"/>
      <c r="G20" s="47"/>
      <c r="H20" s="13"/>
      <c r="I20" s="21"/>
      <c r="J20" s="47"/>
    </row>
    <row r="21" spans="1:10" x14ac:dyDescent="0.3">
      <c r="A21" s="50" t="s">
        <v>20</v>
      </c>
      <c r="B21" s="54" t="e">
        <f>SUM(B16:B20)</f>
        <v>#REF!</v>
      </c>
      <c r="C21" s="54" t="e">
        <f>SUM(C16:C20)</f>
        <v>#REF!</v>
      </c>
      <c r="D21" s="55"/>
      <c r="E21" s="54" t="e">
        <f>SUM(E16:E20)</f>
        <v>#REF!</v>
      </c>
      <c r="F21" s="54" t="e">
        <f>SUM(F16:F20)</f>
        <v>#REF!</v>
      </c>
      <c r="G21" s="55"/>
      <c r="H21" s="54" t="e">
        <f>SUM(H16:H20)</f>
        <v>#REF!</v>
      </c>
      <c r="I21" s="54" t="e">
        <f>SUM(I16:I20)</f>
        <v>#REF!</v>
      </c>
      <c r="J21" s="55"/>
    </row>
    <row r="22" spans="1:10" x14ac:dyDescent="0.3">
      <c r="A22" s="20"/>
      <c r="B22" s="23"/>
      <c r="C22" s="23"/>
      <c r="D22" s="38"/>
      <c r="E22" s="23"/>
      <c r="F22" s="23"/>
      <c r="G22" s="38"/>
      <c r="H22" s="23"/>
      <c r="I22" s="23"/>
      <c r="J22" s="38"/>
    </row>
    <row r="23" spans="1:10" x14ac:dyDescent="0.3">
      <c r="A23" s="20" t="s">
        <v>30</v>
      </c>
      <c r="B23" s="56" t="e">
        <f>B13-B21</f>
        <v>#REF!</v>
      </c>
      <c r="C23" s="56" t="e">
        <f>C13-C21</f>
        <v>#REF!</v>
      </c>
      <c r="D23" s="57"/>
      <c r="E23" s="56" t="e">
        <f>E13-E21</f>
        <v>#REF!</v>
      </c>
      <c r="F23" s="56" t="e">
        <f>F13-F21</f>
        <v>#REF!</v>
      </c>
      <c r="G23" s="57"/>
      <c r="H23" s="56" t="e">
        <f>H13-H21</f>
        <v>#REF!</v>
      </c>
      <c r="I23" s="56" t="e">
        <f>I13-I21</f>
        <v>#REF!</v>
      </c>
      <c r="J23" s="57"/>
    </row>
    <row r="24" spans="1:10" x14ac:dyDescent="0.3">
      <c r="A24" s="20"/>
      <c r="B24" s="56"/>
      <c r="C24" s="56"/>
      <c r="D24" s="57"/>
      <c r="E24" s="56"/>
      <c r="F24" s="56"/>
      <c r="G24" s="57"/>
      <c r="H24" s="56"/>
      <c r="I24" s="56"/>
      <c r="J24" s="57"/>
    </row>
    <row r="25" spans="1:10" x14ac:dyDescent="0.3">
      <c r="A25" s="15" t="s">
        <v>5</v>
      </c>
      <c r="B25" s="56" t="e">
        <f>C25*$B$5</f>
        <v>#REF!</v>
      </c>
      <c r="C25" s="56">
        <v>0</v>
      </c>
      <c r="D25" s="57"/>
      <c r="E25" s="56" t="e">
        <f>F25*$B$5</f>
        <v>#REF!</v>
      </c>
      <c r="F25" s="56" t="e">
        <f>IF(C52&lt;0,0,#REF!*'Investor Cash Flow (2yr hold)'!C52)</f>
        <v>#REF!</v>
      </c>
      <c r="G25" s="57"/>
      <c r="H25" s="56" t="e">
        <f>I25*$B$5</f>
        <v>#REF!</v>
      </c>
      <c r="I25" s="56" t="e">
        <f>IF(F52&lt;0,0,#REF!*'Investor Cash Flow (2yr hold)'!F52)</f>
        <v>#REF!</v>
      </c>
      <c r="J25" s="57"/>
    </row>
    <row r="26" spans="1:10" x14ac:dyDescent="0.3">
      <c r="A26" s="15" t="s">
        <v>31</v>
      </c>
      <c r="B26" s="56" t="e">
        <f>C26*$B$5</f>
        <v>#REF!</v>
      </c>
      <c r="C26" s="56">
        <v>0</v>
      </c>
      <c r="D26" s="57"/>
      <c r="E26" s="56" t="e">
        <f>F26*$B$5</f>
        <v>#REF!</v>
      </c>
      <c r="F26" s="56">
        <v>0</v>
      </c>
      <c r="G26" s="57"/>
      <c r="H26" s="56" t="e">
        <f>I26*$B$5</f>
        <v>#REF!</v>
      </c>
      <c r="I26" s="56">
        <v>0</v>
      </c>
      <c r="J26" s="57"/>
    </row>
    <row r="27" spans="1:10" x14ac:dyDescent="0.3">
      <c r="A27" s="50" t="s">
        <v>32</v>
      </c>
      <c r="B27" s="54" t="e">
        <f>SUM(B25:B26)</f>
        <v>#REF!</v>
      </c>
      <c r="C27" s="54">
        <f>SUM(C25:C26)</f>
        <v>0</v>
      </c>
      <c r="D27" s="55"/>
      <c r="E27" s="54" t="e">
        <f>SUM(E25:E26)</f>
        <v>#REF!</v>
      </c>
      <c r="F27" s="54" t="e">
        <f>SUM(F25:F26)</f>
        <v>#REF!</v>
      </c>
      <c r="G27" s="55"/>
      <c r="H27" s="54" t="e">
        <f>SUM(H25:H26)</f>
        <v>#REF!</v>
      </c>
      <c r="I27" s="54" t="e">
        <f>SUM(I25:I26)</f>
        <v>#REF!</v>
      </c>
      <c r="J27" s="55"/>
    </row>
    <row r="28" spans="1:10" x14ac:dyDescent="0.3">
      <c r="A28" s="20"/>
      <c r="B28" s="56"/>
      <c r="C28" s="56"/>
      <c r="D28" s="57"/>
      <c r="E28" s="56"/>
      <c r="F28" s="56"/>
      <c r="G28" s="57"/>
      <c r="H28" s="56"/>
      <c r="I28" s="56"/>
      <c r="J28" s="57"/>
    </row>
    <row r="29" spans="1:10" x14ac:dyDescent="0.3">
      <c r="A29" s="20" t="s">
        <v>33</v>
      </c>
      <c r="B29" s="56" t="e">
        <f>B23-B27</f>
        <v>#REF!</v>
      </c>
      <c r="C29" s="56" t="e">
        <f>C23-C27</f>
        <v>#REF!</v>
      </c>
      <c r="D29" s="57"/>
      <c r="E29" s="56" t="e">
        <f>E23-E27</f>
        <v>#REF!</v>
      </c>
      <c r="F29" s="56" t="e">
        <f>F23-F27</f>
        <v>#REF!</v>
      </c>
      <c r="G29" s="57"/>
      <c r="H29" s="56" t="e">
        <f>H23-H27</f>
        <v>#REF!</v>
      </c>
      <c r="I29" s="56" t="e">
        <f>I23-I27</f>
        <v>#REF!</v>
      </c>
      <c r="J29" s="57"/>
    </row>
    <row r="30" spans="1:10" x14ac:dyDescent="0.3">
      <c r="A30" s="15"/>
      <c r="B30" s="56"/>
      <c r="C30" s="56"/>
      <c r="D30" s="57"/>
      <c r="E30" s="56"/>
      <c r="F30" s="56"/>
      <c r="G30" s="57"/>
      <c r="H30" s="56"/>
      <c r="I30" s="56"/>
      <c r="J30" s="57"/>
    </row>
    <row r="31" spans="1:10" x14ac:dyDescent="0.3">
      <c r="A31" s="15" t="s">
        <v>34</v>
      </c>
      <c r="B31" s="22" t="e">
        <f>C31*$B$5</f>
        <v>#REF!</v>
      </c>
      <c r="C31" s="22">
        <v>0</v>
      </c>
      <c r="D31" s="48"/>
      <c r="E31" s="22" t="e">
        <f>F31*$B$5</f>
        <v>#REF!</v>
      </c>
      <c r="F31" s="22">
        <v>0</v>
      </c>
      <c r="G31" s="48"/>
      <c r="H31" s="22" t="e">
        <f>I31*$B$5</f>
        <v>#REF!</v>
      </c>
      <c r="I31" s="22">
        <v>0</v>
      </c>
      <c r="J31" s="48"/>
    </row>
    <row r="32" spans="1:10" x14ac:dyDescent="0.3">
      <c r="A32" s="15" t="s">
        <v>24</v>
      </c>
      <c r="B32" s="22" t="e">
        <f>C32*$B$5</f>
        <v>#REF!</v>
      </c>
      <c r="C32" s="53" t="e">
        <f>IF((C29-C31)&gt;0,(C29-C31)*#REF!,0)</f>
        <v>#REF!</v>
      </c>
      <c r="D32" s="59"/>
      <c r="E32" s="22" t="e">
        <f>F32*$B$5</f>
        <v>#REF!</v>
      </c>
      <c r="F32" s="53" t="e">
        <f>IF((F29-F31)&gt;0,(F29-F31)*#REF!,0)</f>
        <v>#REF!</v>
      </c>
      <c r="G32" s="59"/>
      <c r="H32" s="22" t="e">
        <f>I32*$B$5</f>
        <v>#REF!</v>
      </c>
      <c r="I32" s="53" t="e">
        <f>IF((I29-I31)&gt;0,(I29-I31)*#REF!,0)</f>
        <v>#REF!</v>
      </c>
      <c r="J32" s="59"/>
    </row>
    <row r="33" spans="1:27" x14ac:dyDescent="0.3">
      <c r="A33" s="15" t="s">
        <v>50</v>
      </c>
      <c r="B33" s="22" t="e">
        <f>C33*$B$5</f>
        <v>#REF!</v>
      </c>
      <c r="C33" s="22" t="e">
        <f>IF(C32&gt;0,C32/#REF!*(1-#REF!),0)</f>
        <v>#REF!</v>
      </c>
      <c r="D33" s="48"/>
      <c r="E33" s="22" t="e">
        <f>F33*$B$5</f>
        <v>#REF!</v>
      </c>
      <c r="F33" s="22" t="e">
        <f>IF(F32&gt;0,F32/#REF!*(1-#REF!),0)</f>
        <v>#REF!</v>
      </c>
      <c r="G33" s="48"/>
      <c r="H33" s="22" t="e">
        <f>I33*$B$5</f>
        <v>#REF!</v>
      </c>
      <c r="I33" s="22" t="e">
        <f>IF(I32&gt;0,I32/#REF!*(1-#REF!),0)</f>
        <v>#REF!</v>
      </c>
      <c r="J33" s="48"/>
    </row>
    <row r="34" spans="1:27" x14ac:dyDescent="0.3">
      <c r="A34" s="20" t="s">
        <v>35</v>
      </c>
      <c r="B34" s="54" t="e">
        <f>SUM(B31:B33)</f>
        <v>#REF!</v>
      </c>
      <c r="C34" s="54" t="e">
        <f>SUM(C31:C33)</f>
        <v>#REF!</v>
      </c>
      <c r="D34" s="55"/>
      <c r="E34" s="54" t="e">
        <f>SUM(E31:E33)</f>
        <v>#REF!</v>
      </c>
      <c r="F34" s="54" t="e">
        <f>SUM(F31:F33)</f>
        <v>#REF!</v>
      </c>
      <c r="G34" s="55"/>
      <c r="H34" s="54" t="e">
        <f>SUM(H31:H33)</f>
        <v>#REF!</v>
      </c>
      <c r="I34" s="54" t="e">
        <f>SUM(I31:I33)</f>
        <v>#REF!</v>
      </c>
      <c r="J34" s="55"/>
    </row>
    <row r="35" spans="1:27" x14ac:dyDescent="0.3">
      <c r="A35" s="15"/>
      <c r="B35" s="56"/>
      <c r="C35" s="56"/>
      <c r="D35" s="57"/>
      <c r="E35" s="56"/>
      <c r="F35" s="56"/>
      <c r="G35" s="57"/>
      <c r="H35" s="56"/>
      <c r="I35" s="56"/>
      <c r="J35" s="57"/>
    </row>
    <row r="36" spans="1:27" x14ac:dyDescent="0.3">
      <c r="A36" s="15" t="s">
        <v>36</v>
      </c>
      <c r="B36" s="56" t="e">
        <f>C36*$B$5</f>
        <v>#REF!</v>
      </c>
      <c r="C36" s="56" t="e">
        <f>C31+C32-C48</f>
        <v>#REF!</v>
      </c>
      <c r="D36" s="57"/>
      <c r="E36" s="56" t="e">
        <f>F36*$B$5</f>
        <v>#REF!</v>
      </c>
      <c r="F36" s="56" t="e">
        <f>F31+F32-F48</f>
        <v>#REF!</v>
      </c>
      <c r="G36" s="57"/>
      <c r="H36" s="56" t="e">
        <f>I36*$B$5</f>
        <v>#REF!</v>
      </c>
      <c r="I36" s="56" t="e">
        <f>I31+I32-I48</f>
        <v>#REF!</v>
      </c>
      <c r="J36" s="57"/>
    </row>
    <row r="37" spans="1:27" x14ac:dyDescent="0.3">
      <c r="A37" s="15" t="s">
        <v>49</v>
      </c>
      <c r="B37" s="56" t="e">
        <f>C37*$B$5</f>
        <v>#REF!</v>
      </c>
      <c r="C37" s="22">
        <v>0</v>
      </c>
      <c r="D37" s="48"/>
      <c r="E37" s="56" t="e">
        <f>F37*$B$5</f>
        <v>#REF!</v>
      </c>
      <c r="F37" s="22">
        <v>0</v>
      </c>
      <c r="G37" s="48"/>
      <c r="H37" s="56" t="e">
        <f>I37*$B$5</f>
        <v>#REF!</v>
      </c>
      <c r="I37" s="22" t="e">
        <f>#REF!+#REF!</f>
        <v>#REF!</v>
      </c>
      <c r="J37" s="48"/>
    </row>
    <row r="38" spans="1:27" x14ac:dyDescent="0.3">
      <c r="A38" s="20" t="s">
        <v>37</v>
      </c>
      <c r="B38" s="54" t="e">
        <f>SUM(B36:B37)</f>
        <v>#REF!</v>
      </c>
      <c r="C38" s="54" t="e">
        <f>SUM(C36:C37)</f>
        <v>#REF!</v>
      </c>
      <c r="D38" s="55"/>
      <c r="E38" s="54" t="e">
        <f>SUM(E36:E37)</f>
        <v>#REF!</v>
      </c>
      <c r="F38" s="54" t="e">
        <f>SUM(F36:F37)</f>
        <v>#REF!</v>
      </c>
      <c r="G38" s="55"/>
      <c r="H38" s="54" t="e">
        <f>SUM(H36:H37)</f>
        <v>#REF!</v>
      </c>
      <c r="I38" s="54" t="e">
        <f>SUM(I36:I37)</f>
        <v>#REF!</v>
      </c>
      <c r="J38" s="55"/>
    </row>
    <row r="39" spans="1:27" x14ac:dyDescent="0.3">
      <c r="A39" s="15"/>
      <c r="B39" s="16" t="e">
        <f>B38</f>
        <v>#REF!</v>
      </c>
      <c r="E39" s="16" t="e">
        <f>E38</f>
        <v>#REF!</v>
      </c>
      <c r="H39" s="16" t="e">
        <f>H38</f>
        <v>#REF!</v>
      </c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</row>
    <row r="40" spans="1:27" x14ac:dyDescent="0.3">
      <c r="A40" s="15" t="s">
        <v>38</v>
      </c>
      <c r="B40" s="383">
        <v>0</v>
      </c>
      <c r="C40" s="383"/>
      <c r="D40" s="40"/>
      <c r="E40" s="383" t="e">
        <f>E36/$B$48</f>
        <v>#REF!</v>
      </c>
      <c r="F40" s="383"/>
      <c r="G40" s="40"/>
      <c r="H40" s="383" t="e">
        <f>H36/$B$48</f>
        <v>#REF!</v>
      </c>
      <c r="I40" s="383"/>
      <c r="J40" s="40"/>
    </row>
    <row r="41" spans="1:27" x14ac:dyDescent="0.3">
      <c r="A41" s="15" t="s">
        <v>39</v>
      </c>
      <c r="B41" s="383">
        <v>0</v>
      </c>
      <c r="C41" s="383"/>
      <c r="D41" s="41"/>
      <c r="E41" s="383" t="e">
        <f>E38/$B$48</f>
        <v>#REF!</v>
      </c>
      <c r="F41" s="383"/>
      <c r="G41" s="40"/>
      <c r="H41" s="383" t="e">
        <f>H38/$B$48</f>
        <v>#REF!</v>
      </c>
      <c r="I41" s="383"/>
      <c r="J41" s="40"/>
    </row>
    <row r="42" spans="1:27" ht="14" thickBot="1" x14ac:dyDescent="0.35">
      <c r="A42" s="15"/>
    </row>
    <row r="43" spans="1:27" ht="14" thickBot="1" x14ac:dyDescent="0.35">
      <c r="A43" s="24" t="s">
        <v>40</v>
      </c>
      <c r="B43" s="25" t="e">
        <f>IRR(B39:J39)</f>
        <v>#VALUE!</v>
      </c>
      <c r="C43" s="27"/>
      <c r="D43" s="42"/>
    </row>
    <row r="44" spans="1:27" x14ac:dyDescent="0.3">
      <c r="A44" s="15"/>
      <c r="B44" s="64"/>
    </row>
    <row r="45" spans="1:27" x14ac:dyDescent="0.3">
      <c r="A45" s="15"/>
    </row>
    <row r="46" spans="1:27" x14ac:dyDescent="0.3">
      <c r="A46" s="20" t="s">
        <v>46</v>
      </c>
      <c r="B46" s="385">
        <v>0</v>
      </c>
      <c r="C46" s="385"/>
      <c r="D46" s="43"/>
      <c r="E46" s="385">
        <f>B46+1</f>
        <v>1</v>
      </c>
      <c r="F46" s="385"/>
      <c r="G46" s="43"/>
      <c r="H46" s="385">
        <f>E46+1</f>
        <v>2</v>
      </c>
      <c r="I46" s="385"/>
      <c r="J46" s="43"/>
    </row>
    <row r="47" spans="1:27" x14ac:dyDescent="0.3">
      <c r="A47" s="26"/>
      <c r="B47" s="28" t="s">
        <v>0</v>
      </c>
      <c r="C47" s="28" t="s">
        <v>45</v>
      </c>
      <c r="D47" s="44"/>
      <c r="E47" s="28" t="s">
        <v>0</v>
      </c>
      <c r="F47" s="28" t="s">
        <v>45</v>
      </c>
      <c r="G47" s="44"/>
      <c r="H47" s="28" t="s">
        <v>0</v>
      </c>
      <c r="I47" s="28" t="s">
        <v>45</v>
      </c>
      <c r="J47" s="44"/>
    </row>
    <row r="48" spans="1:27" x14ac:dyDescent="0.3">
      <c r="A48" s="20" t="s">
        <v>21</v>
      </c>
      <c r="B48" s="13" t="e">
        <f>C48*$B$5</f>
        <v>#REF!</v>
      </c>
      <c r="C48" s="13" t="e">
        <f>#REF!/#REF!</f>
        <v>#REF!</v>
      </c>
      <c r="D48" s="39"/>
      <c r="E48" s="13" t="e">
        <f>F48*$B$5</f>
        <v>#REF!</v>
      </c>
      <c r="F48" s="13"/>
      <c r="G48" s="39"/>
      <c r="H48" s="13" t="e">
        <f>I48*$B$5</f>
        <v>#REF!</v>
      </c>
      <c r="I48" s="13"/>
      <c r="J48" s="39"/>
    </row>
    <row r="49" spans="1:10" x14ac:dyDescent="0.3">
      <c r="A49" s="20" t="s">
        <v>41</v>
      </c>
      <c r="B49" s="13" t="e">
        <f>C49*$B$5</f>
        <v>#REF!</v>
      </c>
      <c r="C49" s="31" t="e">
        <f>-C23-C48</f>
        <v>#REF!</v>
      </c>
      <c r="D49" s="48"/>
      <c r="E49" s="13" t="e">
        <f>F49*$B$5</f>
        <v>#REF!</v>
      </c>
      <c r="F49" s="31" t="e">
        <f>-F29+F34</f>
        <v>#REF!</v>
      </c>
      <c r="G49" s="48"/>
      <c r="H49" s="13" t="e">
        <f>I49*$B$5</f>
        <v>#REF!</v>
      </c>
      <c r="I49" s="31" t="e">
        <f>-I29+I34</f>
        <v>#REF!</v>
      </c>
      <c r="J49" s="48"/>
    </row>
    <row r="50" spans="1:10" x14ac:dyDescent="0.3">
      <c r="A50" s="26" t="s">
        <v>0</v>
      </c>
      <c r="B50" s="60" t="e">
        <f>SUM(B48:B49)</f>
        <v>#REF!</v>
      </c>
      <c r="C50" s="60" t="e">
        <f>SUM(C48:C49)</f>
        <v>#REF!</v>
      </c>
      <c r="D50" s="61"/>
      <c r="E50" s="60" t="e">
        <f>SUM(E48:E49)</f>
        <v>#REF!</v>
      </c>
      <c r="F50" s="60" t="e">
        <f>SUM(F48:F49)</f>
        <v>#REF!</v>
      </c>
      <c r="G50" s="61"/>
      <c r="H50" s="60" t="e">
        <f>SUM(H48:H49)</f>
        <v>#REF!</v>
      </c>
      <c r="I50" s="60" t="e">
        <f>SUM(I48:I49)</f>
        <v>#REF!</v>
      </c>
      <c r="J50" s="61"/>
    </row>
    <row r="51" spans="1:10" x14ac:dyDescent="0.3">
      <c r="A51" s="15"/>
      <c r="B51" s="13"/>
      <c r="C51" s="13"/>
      <c r="D51" s="39"/>
      <c r="E51" s="13"/>
      <c r="F51" s="13"/>
      <c r="G51" s="39"/>
      <c r="H51" s="13"/>
      <c r="I51" s="13"/>
      <c r="J51" s="39"/>
    </row>
    <row r="52" spans="1:10" x14ac:dyDescent="0.3">
      <c r="A52" s="20" t="s">
        <v>42</v>
      </c>
      <c r="B52" s="17" t="e">
        <f>B49</f>
        <v>#REF!</v>
      </c>
      <c r="C52" s="17" t="e">
        <f>C49</f>
        <v>#REF!</v>
      </c>
      <c r="D52" s="49"/>
      <c r="E52" s="13" t="e">
        <f>F52*$B$5</f>
        <v>#REF!</v>
      </c>
      <c r="F52" s="17" t="e">
        <f>F49+C52</f>
        <v>#REF!</v>
      </c>
      <c r="G52" s="49"/>
      <c r="H52" s="13" t="e">
        <f>I52*$B$5</f>
        <v>#REF!</v>
      </c>
      <c r="I52" s="17" t="e">
        <f>I49+F52</f>
        <v>#REF!</v>
      </c>
      <c r="J52" s="49"/>
    </row>
    <row r="53" spans="1:10" x14ac:dyDescent="0.3">
      <c r="A53" s="20" t="s">
        <v>61</v>
      </c>
      <c r="B53" s="60" t="e">
        <f>C53*$B$5</f>
        <v>#REF!</v>
      </c>
      <c r="C53" s="60" t="e">
        <f>C21+C25</f>
        <v>#REF!</v>
      </c>
      <c r="D53" s="61"/>
      <c r="E53" s="60" t="e">
        <f>F53*$B$5</f>
        <v>#REF!</v>
      </c>
      <c r="F53" s="60" t="e">
        <f>C53+F21+F25</f>
        <v>#REF!</v>
      </c>
      <c r="G53" s="61"/>
      <c r="H53" s="60" t="e">
        <f>I53*$B$5</f>
        <v>#REF!</v>
      </c>
      <c r="I53" s="60" t="e">
        <f>F53+I21+I25</f>
        <v>#REF!</v>
      </c>
      <c r="J53" s="61"/>
    </row>
    <row r="54" spans="1:10" x14ac:dyDescent="0.3">
      <c r="A54" s="15"/>
    </row>
    <row r="55" spans="1:10" x14ac:dyDescent="0.3">
      <c r="A55" s="20" t="s">
        <v>43</v>
      </c>
      <c r="B55" s="72" t="e">
        <f>B52/B53</f>
        <v>#REF!</v>
      </c>
      <c r="C55" s="72"/>
      <c r="D55" s="45"/>
      <c r="E55" s="384" t="e">
        <f>E52/E53</f>
        <v>#REF!</v>
      </c>
      <c r="F55" s="384"/>
      <c r="G55" s="45"/>
      <c r="H55" s="384" t="e">
        <f>H52/H53</f>
        <v>#REF!</v>
      </c>
      <c r="I55" s="384"/>
      <c r="J55" s="45"/>
    </row>
    <row r="56" spans="1:10" x14ac:dyDescent="0.3">
      <c r="A56" s="15"/>
    </row>
    <row r="57" spans="1:10" x14ac:dyDescent="0.3">
      <c r="A57" s="20" t="s">
        <v>44</v>
      </c>
      <c r="B57" s="18" t="e">
        <f>(#REF!*'Investor Cash Flow (2yr hold)'!B53)-'Investor Cash Flow (2yr hold)'!B52</f>
        <v>#REF!</v>
      </c>
      <c r="C57" s="18"/>
      <c r="D57" s="46"/>
      <c r="E57" s="18" t="e">
        <f>(#REF!*'Investor Cash Flow (2yr hold)'!E53)-'Investor Cash Flow (2yr hold)'!E52</f>
        <v>#REF!</v>
      </c>
      <c r="F57" s="18"/>
      <c r="G57" s="46"/>
      <c r="H57" s="18" t="e">
        <f>(#REF!*'Investor Cash Flow (2yr hold)'!H53)-'Investor Cash Flow (2yr hold)'!H52</f>
        <v>#REF!</v>
      </c>
      <c r="I57" s="18"/>
      <c r="J57" s="46"/>
    </row>
    <row r="58" spans="1:10" x14ac:dyDescent="0.3">
      <c r="B58" s="18"/>
      <c r="C58" s="18"/>
      <c r="D58" s="46"/>
      <c r="E58" s="18"/>
      <c r="F58" s="18"/>
      <c r="G58" s="46"/>
      <c r="H58" s="18"/>
      <c r="I58" s="18"/>
      <c r="J58" s="46"/>
    </row>
  </sheetData>
  <mergeCells count="21">
    <mergeCell ref="E55:F55"/>
    <mergeCell ref="H55:I55"/>
    <mergeCell ref="B46:C46"/>
    <mergeCell ref="E46:F46"/>
    <mergeCell ref="H46:I46"/>
    <mergeCell ref="B41:C41"/>
    <mergeCell ref="E41:F41"/>
    <mergeCell ref="H41:I41"/>
    <mergeCell ref="B40:C40"/>
    <mergeCell ref="E40:F40"/>
    <mergeCell ref="H40:I40"/>
    <mergeCell ref="A7:J7"/>
    <mergeCell ref="B8:C8"/>
    <mergeCell ref="E8:F8"/>
    <mergeCell ref="H8:I8"/>
    <mergeCell ref="B12:C12"/>
    <mergeCell ref="E12:F12"/>
    <mergeCell ref="H12:I12"/>
    <mergeCell ref="B9:C9"/>
    <mergeCell ref="E9:F9"/>
    <mergeCell ref="H9:I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</vt:i4>
      </vt:variant>
    </vt:vector>
  </HeadingPairs>
  <TitlesOfParts>
    <vt:vector size="13" baseType="lpstr">
      <vt:lpstr>Assumptions</vt:lpstr>
      <vt:lpstr>Proforma</vt:lpstr>
      <vt:lpstr>Management Struture</vt:lpstr>
      <vt:lpstr>Depreciation Deduction</vt:lpstr>
      <vt:lpstr>Loan Ammortization</vt:lpstr>
      <vt:lpstr>Line of Credit</vt:lpstr>
      <vt:lpstr>Sale</vt:lpstr>
      <vt:lpstr>Exit</vt:lpstr>
      <vt:lpstr>Investor Cash Flow (2yr hold)</vt:lpstr>
      <vt:lpstr>Sponsor Cash Flow (2yr hold)</vt:lpstr>
      <vt:lpstr>LTV Calc</vt:lpstr>
      <vt:lpstr>Assumptions!Print_Area</vt:lpstr>
      <vt:lpstr>Proforma!Print_Area</vt:lpstr>
    </vt:vector>
  </TitlesOfParts>
  <Company>Rabobank International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Lometti, MB (Michael)</dc:creator>
  <cp:lastModifiedBy>drewl</cp:lastModifiedBy>
  <cp:lastPrinted>2021-11-04T15:32:17Z</cp:lastPrinted>
  <dcterms:created xsi:type="dcterms:W3CDTF">2018-04-25T16:32:37Z</dcterms:created>
  <dcterms:modified xsi:type="dcterms:W3CDTF">2021-12-09T01:37:59Z</dcterms:modified>
</cp:coreProperties>
</file>