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wl\Desktop\"/>
    </mc:Choice>
  </mc:AlternateContent>
  <xr:revisionPtr revIDLastSave="0" documentId="13_ncr:1_{7F3281E6-9F54-41E2-B538-F24C53D6D1F9}" xr6:coauthVersionLast="47" xr6:coauthVersionMax="47" xr10:uidLastSave="{00000000-0000-0000-0000-000000000000}"/>
  <bookViews>
    <workbookView xWindow="-110" yWindow="-110" windowWidth="19420" windowHeight="10420" xr2:uid="{1C0184BC-7197-C34E-958C-8BBEB1934329}"/>
  </bookViews>
  <sheets>
    <sheet name="Sheet1" sheetId="1" r:id="rId1"/>
  </sheets>
  <definedNames>
    <definedName name="Cultural_Cost_Adjustment">Sheet1!$E$34</definedName>
    <definedName name="Cultural_Cost_Inflation">Sheet1!$E$28</definedName>
    <definedName name="Harvest_Cost_Inflation">Sheet1!$E$30</definedName>
    <definedName name="Ranch_Sale_Year">Sheet1!$E$40</definedName>
    <definedName name="Sales_Expenses">Sheet1!$E$42</definedName>
    <definedName name="Water_Cost_Adjustment">Sheet1!$E$35</definedName>
    <definedName name="Water_Cost_Inflation">Sheet1!$E$29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0" i="1" l="1"/>
  <c r="P93" i="1"/>
  <c r="N93" i="1"/>
  <c r="M93" i="1"/>
  <c r="L93" i="1"/>
  <c r="K93" i="1"/>
  <c r="J93" i="1"/>
  <c r="I93" i="1"/>
  <c r="H93" i="1"/>
  <c r="G93" i="1"/>
  <c r="F93" i="1"/>
  <c r="P92" i="1"/>
  <c r="N92" i="1"/>
  <c r="M92" i="1"/>
  <c r="L92" i="1"/>
  <c r="K92" i="1"/>
  <c r="J92" i="1"/>
  <c r="I92" i="1"/>
  <c r="H92" i="1"/>
  <c r="G92" i="1"/>
  <c r="F92" i="1"/>
  <c r="P91" i="1"/>
  <c r="N91" i="1"/>
  <c r="M91" i="1"/>
  <c r="L91" i="1"/>
  <c r="K91" i="1"/>
  <c r="J91" i="1"/>
  <c r="I91" i="1"/>
  <c r="H91" i="1"/>
  <c r="G91" i="1"/>
  <c r="F91" i="1"/>
  <c r="P90" i="1"/>
  <c r="O90" i="1"/>
  <c r="T90" i="1" s="1"/>
  <c r="N90" i="1"/>
  <c r="M90" i="1"/>
  <c r="L90" i="1"/>
  <c r="K90" i="1"/>
  <c r="J90" i="1"/>
  <c r="I90" i="1"/>
  <c r="H90" i="1"/>
  <c r="G90" i="1"/>
  <c r="F90" i="1"/>
  <c r="P77" i="1"/>
  <c r="P86" i="1" s="1"/>
  <c r="F74" i="1"/>
  <c r="G73" i="1"/>
  <c r="F73" i="1"/>
  <c r="I72" i="1"/>
  <c r="K72" i="1" s="1"/>
  <c r="K73" i="1" s="1"/>
  <c r="H72" i="1"/>
  <c r="H73" i="1" s="1"/>
  <c r="F71" i="1"/>
  <c r="G70" i="1"/>
  <c r="G71" i="1" s="1"/>
  <c r="F69" i="1"/>
  <c r="G68" i="1"/>
  <c r="F63" i="1"/>
  <c r="G60" i="1"/>
  <c r="G61" i="1" s="1"/>
  <c r="F57" i="1"/>
  <c r="E10" i="1"/>
  <c r="E15" i="1" l="1"/>
  <c r="E12" i="1"/>
  <c r="O92" i="1" s="1"/>
  <c r="I73" i="1"/>
  <c r="L94" i="1"/>
  <c r="P94" i="1"/>
  <c r="H94" i="1"/>
  <c r="K94" i="1"/>
  <c r="F94" i="1"/>
  <c r="F96" i="1" s="1"/>
  <c r="N94" i="1"/>
  <c r="G94" i="1"/>
  <c r="J72" i="1"/>
  <c r="J73" i="1" s="1"/>
  <c r="I94" i="1"/>
  <c r="J94" i="1"/>
  <c r="M94" i="1"/>
  <c r="E96" i="1"/>
  <c r="F120" i="1" s="1"/>
  <c r="J75" i="1"/>
  <c r="E105" i="1"/>
  <c r="E107" i="1" s="1"/>
  <c r="F104" i="1" s="1"/>
  <c r="G75" i="1"/>
  <c r="F75" i="1"/>
  <c r="F77" i="1" s="1"/>
  <c r="F86" i="1" s="1"/>
  <c r="F87" i="1" s="1"/>
  <c r="M75" i="1"/>
  <c r="H60" i="1"/>
  <c r="H68" i="1"/>
  <c r="G69" i="1"/>
  <c r="L72" i="1"/>
  <c r="M72" i="1"/>
  <c r="O91" i="1"/>
  <c r="H70" i="1"/>
  <c r="G57" i="1"/>
  <c r="L75" i="1" l="1"/>
  <c r="O75" i="1"/>
  <c r="H75" i="1"/>
  <c r="I75" i="1"/>
  <c r="K75" i="1"/>
  <c r="N75" i="1"/>
  <c r="G77" i="1"/>
  <c r="H71" i="1"/>
  <c r="I70" i="1"/>
  <c r="F88" i="1"/>
  <c r="F81" i="1" s="1"/>
  <c r="F82" i="1" s="1"/>
  <c r="G85" i="1"/>
  <c r="F117" i="1"/>
  <c r="M73" i="1"/>
  <c r="O72" i="1"/>
  <c r="O73" i="1" s="1"/>
  <c r="H61" i="1"/>
  <c r="I60" i="1"/>
  <c r="F100" i="1"/>
  <c r="L73" i="1"/>
  <c r="N72" i="1"/>
  <c r="N73" i="1" s="1"/>
  <c r="E101" i="1"/>
  <c r="E111" i="1" s="1"/>
  <c r="H57" i="1"/>
  <c r="H69" i="1"/>
  <c r="I68" i="1"/>
  <c r="H77" i="1" l="1"/>
  <c r="E110" i="1"/>
  <c r="E114" i="1" s="1"/>
  <c r="G62" i="1"/>
  <c r="I69" i="1"/>
  <c r="J68" i="1"/>
  <c r="I57" i="1"/>
  <c r="I61" i="1"/>
  <c r="J60" i="1"/>
  <c r="E115" i="1"/>
  <c r="E102" i="1"/>
  <c r="F99" i="1" s="1"/>
  <c r="I71" i="1"/>
  <c r="J70" i="1"/>
  <c r="I77" i="1" l="1"/>
  <c r="J69" i="1"/>
  <c r="K68" i="1"/>
  <c r="G86" i="1"/>
  <c r="G87" i="1" s="1"/>
  <c r="G63" i="1"/>
  <c r="F101" i="1"/>
  <c r="J61" i="1"/>
  <c r="K60" i="1"/>
  <c r="K70" i="1"/>
  <c r="J71" i="1"/>
  <c r="J57" i="1"/>
  <c r="G96" i="1" l="1"/>
  <c r="G120" i="1"/>
  <c r="J77" i="1"/>
  <c r="K71" i="1"/>
  <c r="L70" i="1"/>
  <c r="K57" i="1"/>
  <c r="F106" i="1"/>
  <c r="F107" i="1" s="1"/>
  <c r="G104" i="1" s="1"/>
  <c r="F102" i="1"/>
  <c r="G99" i="1" s="1"/>
  <c r="G88" i="1"/>
  <c r="G81" i="1" s="1"/>
  <c r="G82" i="1" s="1"/>
  <c r="H85" i="1"/>
  <c r="K69" i="1"/>
  <c r="L68" i="1"/>
  <c r="K77" i="1"/>
  <c r="K61" i="1"/>
  <c r="L60" i="1"/>
  <c r="F110" i="1" l="1"/>
  <c r="F114" i="1" s="1"/>
  <c r="F111" i="1"/>
  <c r="F115" i="1" s="1"/>
  <c r="L57" i="1"/>
  <c r="L61" i="1"/>
  <c r="M60" i="1"/>
  <c r="L71" i="1"/>
  <c r="M70" i="1"/>
  <c r="L69" i="1"/>
  <c r="L77" i="1" s="1"/>
  <c r="M68" i="1"/>
  <c r="H62" i="1"/>
  <c r="G100" i="1"/>
  <c r="G101" i="1" s="1"/>
  <c r="G102" i="1" l="1"/>
  <c r="H99" i="1" s="1"/>
  <c r="M57" i="1"/>
  <c r="N68" i="1"/>
  <c r="M69" i="1"/>
  <c r="H86" i="1"/>
  <c r="H87" i="1" s="1"/>
  <c r="H63" i="1"/>
  <c r="G106" i="1"/>
  <c r="G107" i="1" s="1"/>
  <c r="H104" i="1" s="1"/>
  <c r="M71" i="1"/>
  <c r="N70" i="1"/>
  <c r="N60" i="1"/>
  <c r="M61" i="1"/>
  <c r="H96" i="1" l="1"/>
  <c r="H120" i="1"/>
  <c r="G111" i="1"/>
  <c r="G115" i="1" s="1"/>
  <c r="M77" i="1"/>
  <c r="N69" i="1"/>
  <c r="O68" i="1"/>
  <c r="N57" i="1"/>
  <c r="H100" i="1"/>
  <c r="G110" i="1"/>
  <c r="G114" i="1" s="1"/>
  <c r="N61" i="1"/>
  <c r="O60" i="1"/>
  <c r="H88" i="1"/>
  <c r="H81" i="1" s="1"/>
  <c r="H82" i="1" s="1"/>
  <c r="I85" i="1"/>
  <c r="N71" i="1"/>
  <c r="O70" i="1"/>
  <c r="O71" i="1" s="1"/>
  <c r="N77" i="1" l="1"/>
  <c r="I62" i="1"/>
  <c r="G117" i="1"/>
  <c r="H101" i="1"/>
  <c r="O69" i="1"/>
  <c r="O77" i="1" s="1"/>
  <c r="O61" i="1"/>
  <c r="P60" i="1"/>
  <c r="P61" i="1" s="1"/>
  <c r="P63" i="1" s="1"/>
  <c r="O57" i="1"/>
  <c r="P96" i="1" l="1"/>
  <c r="H106" i="1"/>
  <c r="H107" i="1" s="1"/>
  <c r="I104" i="1" s="1"/>
  <c r="P57" i="1"/>
  <c r="I86" i="1"/>
  <c r="I87" i="1" s="1"/>
  <c r="I63" i="1"/>
  <c r="H102" i="1"/>
  <c r="I99" i="1" s="1"/>
  <c r="I96" i="1" l="1"/>
  <c r="I120" i="1"/>
  <c r="H110" i="1"/>
  <c r="H114" i="1" s="1"/>
  <c r="H111" i="1"/>
  <c r="H115" i="1" s="1"/>
  <c r="I88" i="1"/>
  <c r="I81" i="1" s="1"/>
  <c r="I82" i="1" s="1"/>
  <c r="J85" i="1"/>
  <c r="I100" i="1"/>
  <c r="I101" i="1" l="1"/>
  <c r="I106" i="1" s="1"/>
  <c r="I107" i="1" s="1"/>
  <c r="J104" i="1" s="1"/>
  <c r="H117" i="1"/>
  <c r="J62" i="1"/>
  <c r="I111" i="1" l="1"/>
  <c r="I115" i="1" s="1"/>
  <c r="I117" i="1" s="1"/>
  <c r="I102" i="1"/>
  <c r="J99" i="1" s="1"/>
  <c r="I110" i="1"/>
  <c r="I114" i="1" s="1"/>
  <c r="J100" i="1"/>
  <c r="J86" i="1"/>
  <c r="J87" i="1" s="1"/>
  <c r="J63" i="1"/>
  <c r="J96" i="1" l="1"/>
  <c r="J101" i="1" s="1"/>
  <c r="J120" i="1"/>
  <c r="J88" i="1"/>
  <c r="J81" i="1" s="1"/>
  <c r="J82" i="1" s="1"/>
  <c r="K85" i="1"/>
  <c r="J106" i="1" l="1"/>
  <c r="J107" i="1" s="1"/>
  <c r="K104" i="1" s="1"/>
  <c r="K62" i="1"/>
  <c r="K86" i="1" s="1"/>
  <c r="K87" i="1" s="1"/>
  <c r="J102" i="1"/>
  <c r="K99" i="1" s="1"/>
  <c r="K100" i="1" l="1"/>
  <c r="J110" i="1"/>
  <c r="J114" i="1" s="1"/>
  <c r="J111" i="1"/>
  <c r="J115" i="1" s="1"/>
  <c r="J117" i="1" s="1"/>
  <c r="K63" i="1"/>
  <c r="K120" i="1" s="1"/>
  <c r="K88" i="1"/>
  <c r="K81" i="1" s="1"/>
  <c r="K82" i="1" s="1"/>
  <c r="L85" i="1"/>
  <c r="K96" i="1" l="1"/>
  <c r="L62" i="1"/>
  <c r="L86" i="1" s="1"/>
  <c r="L87" i="1" s="1"/>
  <c r="K101" i="1" l="1"/>
  <c r="K102" i="1" s="1"/>
  <c r="L99" i="1" s="1"/>
  <c r="L63" i="1"/>
  <c r="L88" i="1"/>
  <c r="L81" i="1" s="1"/>
  <c r="L82" i="1" s="1"/>
  <c r="M85" i="1"/>
  <c r="L96" i="1" l="1"/>
  <c r="L120" i="1"/>
  <c r="K106" i="1"/>
  <c r="K111" i="1" s="1"/>
  <c r="K115" i="1" s="1"/>
  <c r="K117" i="1" s="1"/>
  <c r="M62" i="1"/>
  <c r="M86" i="1" s="1"/>
  <c r="M87" i="1" s="1"/>
  <c r="K107" i="1" l="1"/>
  <c r="L104" i="1" s="1"/>
  <c r="M63" i="1"/>
  <c r="K110" i="1"/>
  <c r="K114" i="1" s="1"/>
  <c r="M88" i="1"/>
  <c r="M81" i="1" s="1"/>
  <c r="M82" i="1" s="1"/>
  <c r="N85" i="1"/>
  <c r="M96" i="1" l="1"/>
  <c r="M120" i="1"/>
  <c r="L100" i="1"/>
  <c r="N62" i="1"/>
  <c r="N63" i="1" s="1"/>
  <c r="N96" i="1" l="1"/>
  <c r="N120" i="1"/>
  <c r="N86" i="1"/>
  <c r="N87" i="1" s="1"/>
  <c r="N88" i="1" s="1"/>
  <c r="N81" i="1" s="1"/>
  <c r="N82" i="1" s="1"/>
  <c r="L101" i="1"/>
  <c r="O85" i="1" l="1"/>
  <c r="L106" i="1"/>
  <c r="L107" i="1" s="1"/>
  <c r="M104" i="1" s="1"/>
  <c r="L102" i="1"/>
  <c r="M99" i="1" s="1"/>
  <c r="O62" i="1"/>
  <c r="L110" i="1" l="1"/>
  <c r="L114" i="1" s="1"/>
  <c r="L111" i="1"/>
  <c r="L115" i="1" s="1"/>
  <c r="L117" i="1" s="1"/>
  <c r="M100" i="1"/>
  <c r="M101" i="1" s="1"/>
  <c r="M106" i="1" s="1"/>
  <c r="M107" i="1" s="1"/>
  <c r="N104" i="1" s="1"/>
  <c r="O86" i="1"/>
  <c r="O87" i="1" s="1"/>
  <c r="O93" i="1" s="1"/>
  <c r="O63" i="1"/>
  <c r="O120" i="1" s="1"/>
  <c r="E53" i="1" s="1"/>
  <c r="N100" i="1" l="1"/>
  <c r="M110" i="1"/>
  <c r="M114" i="1" s="1"/>
  <c r="M111" i="1"/>
  <c r="M115" i="1" s="1"/>
  <c r="M117" i="1" s="1"/>
  <c r="M102" i="1"/>
  <c r="N99" i="1" s="1"/>
  <c r="O88" i="1"/>
  <c r="O81" i="1" s="1"/>
  <c r="O82" i="1" s="1"/>
  <c r="O94" i="1"/>
  <c r="O96" i="1" s="1"/>
  <c r="N101" i="1" l="1"/>
  <c r="N102" i="1" s="1"/>
  <c r="O99" i="1" s="1"/>
  <c r="E51" i="1"/>
  <c r="P85" i="1"/>
  <c r="P87" i="1" s="1"/>
  <c r="P88" i="1" s="1"/>
  <c r="P81" i="1" s="1"/>
  <c r="P82" i="1" s="1"/>
  <c r="N106" i="1" l="1"/>
  <c r="N107" i="1" s="1"/>
  <c r="O104" i="1" s="1"/>
  <c r="N110" i="1" l="1"/>
  <c r="N114" i="1" s="1"/>
  <c r="N111" i="1"/>
  <c r="N115" i="1" s="1"/>
  <c r="N117" i="1" s="1"/>
  <c r="O117" i="1"/>
  <c r="O100" i="1"/>
  <c r="O106" i="1"/>
  <c r="O107" i="1" s="1"/>
  <c r="P104" i="1" s="1"/>
  <c r="P117" i="1" l="1"/>
  <c r="P106" i="1"/>
  <c r="P107" i="1" s="1"/>
  <c r="P100" i="1"/>
  <c r="O101" i="1"/>
  <c r="O111" i="1" l="1"/>
  <c r="O115" i="1" s="1"/>
  <c r="O110" i="1"/>
  <c r="O114" i="1" s="1"/>
  <c r="O102" i="1"/>
  <c r="P99" i="1" s="1"/>
  <c r="P101" i="1" l="1"/>
  <c r="P102" i="1" s="1"/>
  <c r="P110" i="1" l="1"/>
  <c r="P114" i="1" s="1"/>
  <c r="P111" i="1"/>
  <c r="P115" i="1" s="1"/>
  <c r="E52" i="1" l="1"/>
  <c r="E54" i="1"/>
</calcChain>
</file>

<file path=xl/sharedStrings.xml><?xml version="1.0" encoding="utf-8"?>
<sst xmlns="http://schemas.openxmlformats.org/spreadsheetml/2006/main" count="93" uniqueCount="87">
  <si>
    <t>Key Assumptions</t>
  </si>
  <si>
    <t>Notes</t>
  </si>
  <si>
    <t>Purchase Assumptions</t>
  </si>
  <si>
    <t>Total Acres</t>
  </si>
  <si>
    <t>Purchase Price</t>
  </si>
  <si>
    <t>Deal Pursuit Costs</t>
  </si>
  <si>
    <t>Acquisition Fee</t>
  </si>
  <si>
    <t>Working Capital</t>
  </si>
  <si>
    <t>FMFC  Purchase Loan</t>
  </si>
  <si>
    <t>CVAP Co-Invest</t>
  </si>
  <si>
    <t>Acre Trader Equity</t>
  </si>
  <si>
    <t>Total Equity Raise</t>
  </si>
  <si>
    <t>Debt Assumptions</t>
  </si>
  <si>
    <t>FMFC Operating Line  - Interest Rate</t>
  </si>
  <si>
    <t>Revenue Assumptions</t>
  </si>
  <si>
    <t>Pistachio $/Pound - CY22</t>
  </si>
  <si>
    <t>Pistachio $/Pound - CAGR</t>
  </si>
  <si>
    <t>Cost Inflation Assumptions</t>
  </si>
  <si>
    <t>Annual Cultural Cost Inflation</t>
  </si>
  <si>
    <t>Annual Water Cost Inflation</t>
  </si>
  <si>
    <t>Annual Harvest Cost Inflation</t>
  </si>
  <si>
    <t>Cost Overage Assumptions</t>
  </si>
  <si>
    <t>Annual Cultural Cost Overage</t>
  </si>
  <si>
    <t>Annual Water Cost Overage</t>
  </si>
  <si>
    <t>Annual Harvest Cost Overage</t>
  </si>
  <si>
    <t>Ranch Sale Assumptions</t>
  </si>
  <si>
    <t>Ranch Sale - Crop Year</t>
  </si>
  <si>
    <t>Annual Ranch Appreciation - CAGR</t>
  </si>
  <si>
    <t>Sales Commission / Expenses</t>
  </si>
  <si>
    <t>Distribution Assumptions</t>
  </si>
  <si>
    <t>Limited Partners' Preferred Return</t>
  </si>
  <si>
    <t>Sponsor Promote</t>
  </si>
  <si>
    <t>Key Return Metrics</t>
  </si>
  <si>
    <t>IRR - Project</t>
  </si>
  <si>
    <t>IRR - Limited Partners</t>
  </si>
  <si>
    <t>Average Annual Cash Yield</t>
  </si>
  <si>
    <t>MOIC - Limited Partners</t>
  </si>
  <si>
    <t>Crop Year</t>
  </si>
  <si>
    <t>Year Ended</t>
  </si>
  <si>
    <t>Yield Per Acre (Pounds)</t>
  </si>
  <si>
    <t>Annual input</t>
  </si>
  <si>
    <t>Price per Pound</t>
  </si>
  <si>
    <t>Assumptions: starting price and annual CAGR of pricing</t>
  </si>
  <si>
    <t>Revenues</t>
  </si>
  <si>
    <t>LOC Paydown</t>
  </si>
  <si>
    <t>Cash Available for Distribution</t>
  </si>
  <si>
    <t>Cultural Reimbursement Costs</t>
  </si>
  <si>
    <t>Pre-Planting Costs</t>
  </si>
  <si>
    <t>Planting Costs</t>
  </si>
  <si>
    <t>Cultural Costs</t>
  </si>
  <si>
    <t>Cost Adjustment</t>
  </si>
  <si>
    <t>Water Costs</t>
  </si>
  <si>
    <t>Harvest Costs</t>
  </si>
  <si>
    <t>Cash Overhead Costs</t>
  </si>
  <si>
    <t>Management Fee - To Sponsor</t>
  </si>
  <si>
    <t>Property Taxes</t>
  </si>
  <si>
    <t>Cash From Operations</t>
  </si>
  <si>
    <t>Acq. Interest Payment</t>
  </si>
  <si>
    <t>Acq. Principal Payment</t>
  </si>
  <si>
    <t>LOC Interest Payment</t>
  </si>
  <si>
    <t>Cash From Financing</t>
  </si>
  <si>
    <t>Operating Line Calculation</t>
  </si>
  <si>
    <t>BOP Balance</t>
  </si>
  <si>
    <t>Additions (Deductions)</t>
  </si>
  <si>
    <t>EOP Balance</t>
  </si>
  <si>
    <t>Average Balance</t>
  </si>
  <si>
    <t>Proceeds from Sale(s)</t>
  </si>
  <si>
    <t>Disp. Closing Costs</t>
  </si>
  <si>
    <t>Mortgage Balance</t>
  </si>
  <si>
    <t>LOC Balance</t>
  </si>
  <si>
    <t>Cash From Divestiture</t>
  </si>
  <si>
    <t>TOTAL CASH FLOW TO INVESTORS</t>
  </si>
  <si>
    <t>Carried Interest</t>
  </si>
  <si>
    <t>BOP Preferred Return Balance</t>
  </si>
  <si>
    <t>Period Preferred Return</t>
  </si>
  <si>
    <t>Distributions</t>
  </si>
  <si>
    <t>EOP Preferred Return Balance</t>
  </si>
  <si>
    <t>BOP Capital Balance</t>
  </si>
  <si>
    <t>Contributions</t>
  </si>
  <si>
    <t>Distributions (Above Carry)</t>
  </si>
  <si>
    <t>EOP Capital Balance</t>
  </si>
  <si>
    <t>Sponsor</t>
  </si>
  <si>
    <t>Limited Partners</t>
  </si>
  <si>
    <t>Total Investor Cash Flows</t>
  </si>
  <si>
    <t>- Base pistachio price of $2.60 per pound represents a 7% discount to trailing 3-year average</t>
  </si>
  <si>
    <t>YIELD</t>
  </si>
  <si>
    <t>Cash on Cash 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</si>
</sst>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\x"/>
    <numFmt numFmtId="167" formatCode="0.0%"/>
  </numFmts>
  <fonts count="1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MT"/>
    </font>
    <font>
      <b/>
      <u/>
      <sz val="12"/>
      <color rgb="FF993300"/>
      <name val="Arial"/>
      <family val="2"/>
    </font>
    <font>
      <b/>
      <u/>
      <sz val="12"/>
      <color theme="1"/>
      <name val="ArialMT"/>
    </font>
    <font>
      <sz val="12"/>
      <color theme="1"/>
      <name val="Arial"/>
      <family val="2"/>
    </font>
    <font>
      <sz val="12"/>
      <color theme="1"/>
      <name val="ArialMT"/>
    </font>
    <font>
      <b/>
      <sz val="12"/>
      <color theme="0"/>
      <name val="ArialMT"/>
    </font>
    <font>
      <i/>
      <sz val="12"/>
      <color theme="1"/>
      <name val="ArialMT"/>
    </font>
    <font>
      <b/>
      <sz val="12"/>
      <color theme="1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2" fillId="2" borderId="4" xfId="0" applyFont="1" applyFill="1" applyBorder="1"/>
    <xf numFmtId="43" fontId="0" fillId="4" borderId="5" xfId="1" applyFont="1" applyFill="1" applyBorder="1" applyAlignment="1">
      <alignment horizontal="center"/>
    </xf>
    <xf numFmtId="0" fontId="3" fillId="2" borderId="0" xfId="0" applyFont="1" applyFill="1"/>
    <xf numFmtId="0" fontId="4" fillId="2" borderId="4" xfId="0" applyFont="1" applyFill="1" applyBorder="1"/>
    <xf numFmtId="0" fontId="5" fillId="2" borderId="0" xfId="0" quotePrefix="1" applyFont="1" applyFill="1"/>
    <xf numFmtId="0" fontId="0" fillId="2" borderId="4" xfId="0" applyFill="1" applyBorder="1"/>
    <xf numFmtId="164" fontId="0" fillId="4" borderId="5" xfId="2" applyNumberFormat="1" applyFont="1" applyFill="1" applyBorder="1" applyAlignment="1">
      <alignment horizontal="center"/>
    </xf>
    <xf numFmtId="164" fontId="0" fillId="2" borderId="0" xfId="0" applyNumberFormat="1" applyFill="1"/>
    <xf numFmtId="164" fontId="0" fillId="2" borderId="0" xfId="2" applyNumberFormat="1" applyFont="1" applyFill="1"/>
    <xf numFmtId="0" fontId="5" fillId="2" borderId="0" xfId="0" applyFont="1" applyFill="1"/>
    <xf numFmtId="164" fontId="0" fillId="4" borderId="5" xfId="0" applyNumberFormat="1" applyFill="1" applyBorder="1" applyAlignment="1">
      <alignment horizontal="center"/>
    </xf>
    <xf numFmtId="164" fontId="2" fillId="4" borderId="5" xfId="0" applyNumberFormat="1" applyFont="1" applyFill="1" applyBorder="1" applyAlignment="1">
      <alignment horizontal="center"/>
    </xf>
    <xf numFmtId="164" fontId="2" fillId="2" borderId="0" xfId="0" applyNumberFormat="1" applyFont="1" applyFill="1"/>
    <xf numFmtId="10" fontId="0" fillId="4" borderId="5" xfId="3" applyNumberFormat="1" applyFont="1" applyFill="1" applyBorder="1" applyAlignment="1">
      <alignment horizontal="right"/>
    </xf>
    <xf numFmtId="164" fontId="0" fillId="4" borderId="5" xfId="0" applyNumberFormat="1" applyFill="1" applyBorder="1" applyAlignment="1">
      <alignment horizontal="right"/>
    </xf>
    <xf numFmtId="164" fontId="2" fillId="4" borderId="5" xfId="0" applyNumberFormat="1" applyFont="1" applyFill="1" applyBorder="1" applyAlignment="1">
      <alignment horizontal="right"/>
    </xf>
    <xf numFmtId="10" fontId="0" fillId="0" borderId="0" xfId="0" applyNumberFormat="1"/>
    <xf numFmtId="10" fontId="6" fillId="2" borderId="0" xfId="3" applyNumberFormat="1" applyFont="1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9" fontId="0" fillId="4" borderId="8" xfId="3" applyFont="1" applyFill="1" applyBorder="1" applyAlignment="1">
      <alignment horizontal="right"/>
    </xf>
    <xf numFmtId="10" fontId="2" fillId="5" borderId="5" xfId="0" applyNumberFormat="1" applyFont="1" applyFill="1" applyBorder="1" applyAlignment="1">
      <alignment horizontal="center"/>
    </xf>
    <xf numFmtId="166" fontId="2" fillId="5" borderId="8" xfId="0" applyNumberFormat="1" applyFont="1" applyFill="1" applyBorder="1" applyAlignment="1">
      <alignment horizontal="center"/>
    </xf>
    <xf numFmtId="0" fontId="7" fillId="6" borderId="0" xfId="0" applyFont="1" applyFill="1"/>
    <xf numFmtId="0" fontId="7" fillId="2" borderId="0" xfId="0" applyFont="1" applyFill="1"/>
    <xf numFmtId="0" fontId="2" fillId="6" borderId="0" xfId="0" applyFont="1" applyFill="1"/>
    <xf numFmtId="14" fontId="7" fillId="6" borderId="0" xfId="0" applyNumberFormat="1" applyFont="1" applyFill="1"/>
    <xf numFmtId="14" fontId="7" fillId="2" borderId="0" xfId="0" applyNumberFormat="1" applyFont="1" applyFill="1"/>
    <xf numFmtId="14" fontId="0" fillId="2" borderId="0" xfId="0" applyNumberFormat="1" applyFill="1"/>
    <xf numFmtId="14" fontId="0" fillId="4" borderId="0" xfId="0" applyNumberFormat="1" applyFill="1"/>
    <xf numFmtId="165" fontId="0" fillId="4" borderId="0" xfId="1" applyNumberFormat="1" applyFont="1" applyFill="1"/>
    <xf numFmtId="165" fontId="0" fillId="2" borderId="0" xfId="1" applyNumberFormat="1" applyFont="1" applyFill="1"/>
    <xf numFmtId="44" fontId="0" fillId="2" borderId="0" xfId="2" applyFont="1" applyFill="1"/>
    <xf numFmtId="42" fontId="0" fillId="2" borderId="0" xfId="0" applyNumberFormat="1" applyFill="1"/>
    <xf numFmtId="42" fontId="0" fillId="0" borderId="0" xfId="0" applyNumberFormat="1"/>
    <xf numFmtId="42" fontId="2" fillId="2" borderId="0" xfId="0" applyNumberFormat="1" applyFont="1" applyFill="1"/>
    <xf numFmtId="42" fontId="2" fillId="0" borderId="0" xfId="0" applyNumberFormat="1" applyFont="1"/>
    <xf numFmtId="42" fontId="8" fillId="2" borderId="0" xfId="0" applyNumberFormat="1" applyFont="1" applyFill="1"/>
    <xf numFmtId="42" fontId="2" fillId="3" borderId="0" xfId="0" applyNumberFormat="1" applyFont="1" applyFill="1"/>
    <xf numFmtId="0" fontId="6" fillId="2" borderId="0" xfId="0" applyFont="1" applyFill="1"/>
    <xf numFmtId="164" fontId="6" fillId="2" borderId="0" xfId="0" applyNumberFormat="1" applyFont="1" applyFill="1"/>
    <xf numFmtId="0" fontId="6" fillId="0" borderId="0" xfId="0" applyFont="1"/>
    <xf numFmtId="167" fontId="2" fillId="3" borderId="0" xfId="3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9" fillId="2" borderId="0" xfId="0" applyFont="1" applyFill="1" applyAlignment="1">
      <alignment horizontal="center" vertical="center"/>
    </xf>
    <xf numFmtId="167" fontId="0" fillId="0" borderId="0" xfId="3" applyNumberFormat="1" applyFont="1"/>
    <xf numFmtId="44" fontId="5" fillId="2" borderId="0" xfId="2" quotePrefix="1" applyFont="1" applyFill="1"/>
    <xf numFmtId="0" fontId="2" fillId="0" borderId="0" xfId="0" applyFont="1" applyFill="1"/>
    <xf numFmtId="0" fontId="0" fillId="0" borderId="0" xfId="0" applyFill="1"/>
    <xf numFmtId="44" fontId="0" fillId="2" borderId="0" xfId="0" applyNumberFormat="1" applyFill="1"/>
    <xf numFmtId="44" fontId="5" fillId="2" borderId="0" xfId="0" applyNumberFormat="1" applyFont="1" applyFill="1"/>
    <xf numFmtId="41" fontId="0" fillId="2" borderId="0" xfId="0" applyNumberFormat="1" applyFill="1"/>
    <xf numFmtId="41" fontId="0" fillId="2" borderId="0" xfId="2" applyNumberFormat="1" applyFont="1" applyFill="1"/>
    <xf numFmtId="41" fontId="2" fillId="2" borderId="0" xfId="0" applyNumberFormat="1" applyFont="1" applyFill="1"/>
    <xf numFmtId="41" fontId="2" fillId="3" borderId="0" xfId="0" applyNumberFormat="1" applyFont="1" applyFill="1"/>
    <xf numFmtId="41" fontId="6" fillId="2" borderId="0" xfId="0" applyNumberFormat="1" applyFont="1" applyFill="1"/>
    <xf numFmtId="43" fontId="0" fillId="2" borderId="0" xfId="0" applyNumberFormat="1" applyFill="1"/>
    <xf numFmtId="44" fontId="0" fillId="2" borderId="0" xfId="2" applyNumberFormat="1" applyFont="1" applyFill="1"/>
    <xf numFmtId="164" fontId="10" fillId="4" borderId="5" xfId="2" applyNumberFormat="1" applyFont="1" applyFill="1" applyBorder="1" applyAlignment="1">
      <alignment horizontal="center"/>
    </xf>
    <xf numFmtId="43" fontId="10" fillId="4" borderId="5" xfId="1" applyFont="1" applyFill="1" applyBorder="1" applyAlignment="1">
      <alignment horizontal="center"/>
    </xf>
    <xf numFmtId="41" fontId="10" fillId="4" borderId="5" xfId="2" applyNumberFormat="1" applyFont="1" applyFill="1" applyBorder="1" applyAlignment="1">
      <alignment horizontal="center"/>
    </xf>
    <xf numFmtId="41" fontId="0" fillId="4" borderId="5" xfId="2" applyNumberFormat="1" applyFont="1" applyFill="1" applyBorder="1" applyAlignment="1">
      <alignment horizontal="center"/>
    </xf>
    <xf numFmtId="41" fontId="11" fillId="4" borderId="5" xfId="2" applyNumberFormat="1" applyFont="1" applyFill="1" applyBorder="1" applyAlignment="1">
      <alignment horizontal="center"/>
    </xf>
    <xf numFmtId="41" fontId="10" fillId="4" borderId="5" xfId="0" applyNumberFormat="1" applyFont="1" applyFill="1" applyBorder="1" applyAlignment="1">
      <alignment horizontal="center"/>
    </xf>
    <xf numFmtId="10" fontId="10" fillId="4" borderId="5" xfId="3" applyNumberFormat="1" applyFont="1" applyFill="1" applyBorder="1" applyAlignment="1">
      <alignment horizontal="right"/>
    </xf>
    <xf numFmtId="44" fontId="10" fillId="4" borderId="5" xfId="0" applyNumberFormat="1" applyFont="1" applyFill="1" applyBorder="1" applyAlignment="1">
      <alignment horizontal="right"/>
    </xf>
    <xf numFmtId="165" fontId="10" fillId="4" borderId="5" xfId="1" applyNumberFormat="1" applyFont="1" applyFill="1" applyBorder="1" applyAlignment="1">
      <alignment horizontal="right"/>
    </xf>
    <xf numFmtId="9" fontId="10" fillId="4" borderId="5" xfId="3" applyFont="1" applyFill="1" applyBorder="1" applyAlignment="1">
      <alignment horizontal="right"/>
    </xf>
    <xf numFmtId="165" fontId="5" fillId="2" borderId="0" xfId="0" quotePrefix="1" applyNumberFormat="1" applyFont="1" applyFill="1"/>
    <xf numFmtId="9" fontId="0" fillId="2" borderId="0" xfId="3" applyFont="1" applyFill="1"/>
    <xf numFmtId="9" fontId="5" fillId="2" borderId="0" xfId="3" quotePrefix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9BAD5-9E8F-5646-935E-E8F815B0137D}">
  <dimension ref="A1:T120"/>
  <sheetViews>
    <sheetView tabSelected="1" zoomScale="75" zoomScaleNormal="75" workbookViewId="0">
      <selection activeCell="F22" sqref="F22"/>
    </sheetView>
  </sheetViews>
  <sheetFormatPr defaultColWidth="13.5" defaultRowHeight="15.5" outlineLevelRow="1"/>
  <cols>
    <col min="1" max="1" width="13.58203125" bestFit="1" customWidth="1"/>
    <col min="2" max="3" width="3.08203125" customWidth="1"/>
    <col min="4" max="4" width="31.5" customWidth="1"/>
    <col min="5" max="5" width="18.33203125" style="52" customWidth="1"/>
    <col min="6" max="6" width="40.5" bestFit="1" customWidth="1"/>
    <col min="7" max="16" width="18.33203125" customWidth="1"/>
    <col min="17" max="17" width="3.08203125" customWidth="1"/>
    <col min="18" max="18" width="59.08203125" customWidth="1"/>
  </cols>
  <sheetData>
    <row r="1" spans="1:18" ht="16" thickBot="1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s="8" customFormat="1" ht="16" thickBot="1">
      <c r="A2" s="3"/>
      <c r="B2" s="4" t="s">
        <v>0</v>
      </c>
      <c r="C2" s="5"/>
      <c r="D2" s="5"/>
      <c r="E2" s="6"/>
      <c r="F2" s="3"/>
      <c r="G2" s="7" t="s">
        <v>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8" customFormat="1" ht="8.15" customHeight="1">
      <c r="A3" s="3"/>
      <c r="B3" s="9"/>
      <c r="C3" s="1"/>
      <c r="D3" s="1"/>
      <c r="E3" s="10"/>
      <c r="F3" s="3"/>
      <c r="G3" s="11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s="8" customFormat="1" ht="20.149999999999999" customHeight="1">
      <c r="A4" s="3"/>
      <c r="B4" s="12" t="s">
        <v>2</v>
      </c>
      <c r="C4" s="1"/>
      <c r="D4" s="1"/>
      <c r="E4" s="10"/>
      <c r="F4" s="3"/>
      <c r="G4" s="13" t="s">
        <v>84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s="8" customFormat="1" ht="4" customHeight="1">
      <c r="A5" s="3"/>
      <c r="B5" s="14"/>
      <c r="C5" s="1"/>
      <c r="D5" s="1"/>
      <c r="E5" s="10"/>
      <c r="F5" s="3"/>
      <c r="G5" s="1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s="8" customFormat="1" ht="20.149999999999999" customHeight="1">
      <c r="A6" s="3"/>
      <c r="B6" s="14" t="s">
        <v>3</v>
      </c>
      <c r="C6" s="1"/>
      <c r="D6" s="1"/>
      <c r="E6" s="68">
        <v>85</v>
      </c>
      <c r="F6" s="56"/>
      <c r="G6" s="77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s="8" customFormat="1" ht="4" customHeight="1">
      <c r="A7" s="3"/>
      <c r="B7" s="14"/>
      <c r="C7" s="1"/>
      <c r="D7" s="1"/>
      <c r="E7" s="15"/>
      <c r="F7" s="3"/>
      <c r="G7" s="1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ht="20.149999999999999" customHeight="1">
      <c r="A8" s="1"/>
      <c r="B8" s="14" t="s">
        <v>4</v>
      </c>
      <c r="C8" s="1"/>
      <c r="D8" s="1"/>
      <c r="E8" s="67">
        <v>4950000</v>
      </c>
      <c r="F8" s="16"/>
      <c r="G8" s="55"/>
      <c r="H8" s="55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20.149999999999999" customHeight="1">
      <c r="A9" s="1"/>
      <c r="B9" s="14"/>
      <c r="C9" s="1" t="s">
        <v>5</v>
      </c>
      <c r="D9" s="1"/>
      <c r="E9" s="69">
        <v>135000</v>
      </c>
      <c r="F9" s="17"/>
      <c r="G9" s="13"/>
      <c r="H9" s="1"/>
      <c r="I9" s="65"/>
      <c r="J9" s="1"/>
      <c r="K9" s="1"/>
      <c r="L9" s="1"/>
      <c r="M9" s="1"/>
      <c r="N9" s="1"/>
      <c r="O9" s="1"/>
      <c r="P9" s="1"/>
      <c r="Q9" s="1"/>
      <c r="R9" s="1"/>
    </row>
    <row r="10" spans="1:18" ht="20.149999999999999" customHeight="1">
      <c r="A10" s="1"/>
      <c r="B10" s="14"/>
      <c r="C10" s="1" t="s">
        <v>6</v>
      </c>
      <c r="D10" s="1"/>
      <c r="E10" s="70">
        <f>E8*0.01</f>
        <v>49500</v>
      </c>
      <c r="F10" s="16"/>
      <c r="G10" s="79"/>
      <c r="H10" s="1"/>
      <c r="I10" s="65"/>
      <c r="J10" s="1"/>
      <c r="K10" s="1"/>
      <c r="L10" s="1"/>
      <c r="M10" s="1"/>
      <c r="N10" s="1"/>
      <c r="O10" s="1"/>
      <c r="P10" s="1"/>
      <c r="Q10" s="1"/>
      <c r="R10" s="1"/>
    </row>
    <row r="11" spans="1:18" ht="20.149999999999999" customHeight="1">
      <c r="A11" s="1"/>
      <c r="B11" s="14"/>
      <c r="C11" s="1" t="s">
        <v>7</v>
      </c>
      <c r="D11" s="1"/>
      <c r="E11" s="69">
        <v>160000</v>
      </c>
      <c r="F11" s="16"/>
      <c r="G11" s="13"/>
      <c r="H11" s="1"/>
      <c r="I11" s="65"/>
      <c r="J11" s="1"/>
      <c r="K11" s="1"/>
      <c r="L11" s="1"/>
      <c r="M11" s="1"/>
      <c r="N11" s="1"/>
      <c r="O11" s="1"/>
      <c r="P11" s="1"/>
      <c r="Q11" s="1"/>
      <c r="R11" s="1"/>
    </row>
    <row r="12" spans="1:18" ht="20.149999999999999" customHeight="1">
      <c r="A12" s="1"/>
      <c r="B12" s="14"/>
      <c r="C12" s="1" t="s">
        <v>8</v>
      </c>
      <c r="D12" s="1"/>
      <c r="E12" s="71">
        <f>+(E8+E9+E10+E11)-E15</f>
        <v>2369500</v>
      </c>
      <c r="F12" s="78"/>
      <c r="G12" s="18"/>
      <c r="H12" s="1"/>
      <c r="I12" s="65"/>
      <c r="J12" s="1"/>
      <c r="K12" s="1"/>
      <c r="L12" s="1"/>
      <c r="M12" s="1"/>
      <c r="N12" s="1"/>
      <c r="O12" s="1"/>
      <c r="P12" s="1"/>
      <c r="Q12" s="1"/>
      <c r="R12" s="1"/>
    </row>
    <row r="13" spans="1:18" ht="20.149999999999999" customHeight="1">
      <c r="A13" s="1"/>
      <c r="B13" s="14"/>
      <c r="C13" s="1" t="s">
        <v>9</v>
      </c>
      <c r="D13" s="1"/>
      <c r="E13" s="72">
        <v>200000</v>
      </c>
      <c r="F13" s="17"/>
      <c r="G13" s="59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0.149999999999999" customHeight="1">
      <c r="A14" s="1"/>
      <c r="B14" s="14"/>
      <c r="C14" s="1" t="s">
        <v>10</v>
      </c>
      <c r="D14" s="1"/>
      <c r="E14" s="72">
        <v>2725000</v>
      </c>
      <c r="F14" s="78"/>
      <c r="G14" s="58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20.149999999999999" customHeight="1">
      <c r="A15" s="1"/>
      <c r="B15" s="14" t="s">
        <v>11</v>
      </c>
      <c r="C15" s="1"/>
      <c r="D15" s="1"/>
      <c r="E15" s="19">
        <f>E14+E13</f>
        <v>2925000</v>
      </c>
      <c r="F15" s="16"/>
      <c r="G15" s="16"/>
      <c r="H15" s="16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8.15" customHeight="1">
      <c r="A16" s="1"/>
      <c r="B16" s="14"/>
      <c r="C16" s="1"/>
      <c r="D16" s="1"/>
      <c r="E16" s="19"/>
      <c r="F16" s="16"/>
      <c r="G16" s="16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s="8" customFormat="1" ht="20.149999999999999" customHeight="1">
      <c r="A17" s="3"/>
      <c r="B17" s="12" t="s">
        <v>12</v>
      </c>
      <c r="C17" s="3"/>
      <c r="D17" s="3"/>
      <c r="E17" s="20"/>
      <c r="F17" s="21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ht="4" customHeight="1">
      <c r="A18" s="1"/>
      <c r="B18" s="14"/>
      <c r="C18" s="1"/>
      <c r="D18" s="1"/>
      <c r="E18" s="19"/>
      <c r="F18" s="1"/>
      <c r="G18" s="1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20.149999999999999" customHeight="1">
      <c r="A19" s="1"/>
      <c r="B19" s="14"/>
      <c r="C19" s="1" t="s">
        <v>13</v>
      </c>
      <c r="D19" s="1"/>
      <c r="E19" s="73">
        <v>2.6499999999999999E-2</v>
      </c>
      <c r="F19" s="57"/>
      <c r="G19" s="16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8.15" customHeight="1">
      <c r="A20" s="1"/>
      <c r="B20" s="14"/>
      <c r="C20" s="1"/>
      <c r="D20" s="1"/>
      <c r="E20" s="23"/>
      <c r="F20" s="1"/>
      <c r="G20" s="16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s="8" customFormat="1" ht="20.149999999999999" customHeight="1">
      <c r="A21" s="3"/>
      <c r="B21" s="12" t="s">
        <v>14</v>
      </c>
      <c r="C21" s="3"/>
      <c r="D21" s="3"/>
      <c r="E21" s="24"/>
      <c r="F21" s="3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ht="4" customHeight="1">
      <c r="A22" s="1"/>
      <c r="B22" s="14"/>
      <c r="C22" s="1"/>
      <c r="D22" s="1"/>
      <c r="E22" s="23"/>
      <c r="F22" s="1"/>
      <c r="G22" s="1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20.149999999999999" customHeight="1">
      <c r="A23" s="1"/>
      <c r="B23" s="14"/>
      <c r="C23" s="1" t="s">
        <v>15</v>
      </c>
      <c r="D23" s="1"/>
      <c r="E23" s="74">
        <v>2.6</v>
      </c>
      <c r="F23" s="1"/>
      <c r="G23" s="1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20.149999999999999" customHeight="1">
      <c r="A24" s="1"/>
      <c r="B24" s="14"/>
      <c r="C24" s="1" t="s">
        <v>16</v>
      </c>
      <c r="D24" s="1"/>
      <c r="E24" s="73">
        <v>0.03</v>
      </c>
      <c r="F24" s="1"/>
      <c r="G24" s="16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8.15" customHeight="1">
      <c r="A25" s="1"/>
      <c r="B25" s="14"/>
      <c r="C25" s="1"/>
      <c r="D25" s="1"/>
      <c r="E25" s="23"/>
      <c r="F25" s="1"/>
      <c r="G25" s="16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s="8" customFormat="1" ht="20.149999999999999" customHeight="1">
      <c r="A26" s="3"/>
      <c r="B26" s="12" t="s">
        <v>17</v>
      </c>
      <c r="C26" s="3"/>
      <c r="D26" s="3"/>
      <c r="E26" s="24"/>
      <c r="F26" s="3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ht="4" customHeight="1">
      <c r="A27" s="1"/>
      <c r="B27" s="14"/>
      <c r="C27" s="1"/>
      <c r="D27" s="1"/>
      <c r="E27" s="23"/>
      <c r="F27" s="1"/>
      <c r="G27" s="16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0.149999999999999" customHeight="1">
      <c r="A28" s="1"/>
      <c r="B28" s="14"/>
      <c r="C28" s="1" t="s">
        <v>18</v>
      </c>
      <c r="D28" s="1"/>
      <c r="E28" s="73">
        <v>0.02</v>
      </c>
      <c r="F28" s="1"/>
      <c r="G28" s="16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20.149999999999999" customHeight="1">
      <c r="A29" s="1"/>
      <c r="B29" s="14"/>
      <c r="C29" s="1" t="s">
        <v>19</v>
      </c>
      <c r="D29" s="1"/>
      <c r="E29" s="73">
        <v>0.02</v>
      </c>
      <c r="F29" s="1"/>
      <c r="G29" s="16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20.149999999999999" customHeight="1">
      <c r="A30" s="1"/>
      <c r="B30" s="14"/>
      <c r="C30" s="1" t="s">
        <v>20</v>
      </c>
      <c r="D30" s="1"/>
      <c r="E30" s="73">
        <v>0.02</v>
      </c>
      <c r="F30" s="1"/>
      <c r="G30" s="16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8.15" customHeight="1">
      <c r="A31" s="1"/>
      <c r="B31" s="14"/>
      <c r="C31" s="1"/>
      <c r="D31" s="1"/>
      <c r="E31" s="23"/>
      <c r="F31" s="1"/>
      <c r="G31" s="16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s="8" customFormat="1" ht="20.149999999999999" customHeight="1">
      <c r="A32" s="3"/>
      <c r="B32" s="12" t="s">
        <v>21</v>
      </c>
      <c r="C32" s="3"/>
      <c r="D32" s="3"/>
      <c r="E32" s="24"/>
      <c r="F32" s="3"/>
      <c r="G32" s="2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ht="4" customHeight="1">
      <c r="A33" s="1"/>
      <c r="B33" s="14"/>
      <c r="C33" s="1"/>
      <c r="D33" s="1"/>
      <c r="E33" s="23"/>
      <c r="F33" s="1"/>
      <c r="G33" s="16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20.149999999999999" customHeight="1">
      <c r="A34" s="1"/>
      <c r="B34" s="14"/>
      <c r="C34" s="1" t="s">
        <v>22</v>
      </c>
      <c r="D34" s="1"/>
      <c r="E34" s="73">
        <v>0</v>
      </c>
      <c r="F34" s="1"/>
      <c r="G34" s="16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20.149999999999999" customHeight="1">
      <c r="A35" s="1"/>
      <c r="B35" s="14"/>
      <c r="C35" s="1" t="s">
        <v>23</v>
      </c>
      <c r="D35" s="1"/>
      <c r="E35" s="73">
        <v>0</v>
      </c>
      <c r="F35" s="1"/>
      <c r="G35" s="16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20.149999999999999" customHeight="1">
      <c r="A36" s="1"/>
      <c r="B36" s="14"/>
      <c r="C36" s="1" t="s">
        <v>24</v>
      </c>
      <c r="D36" s="1"/>
      <c r="E36" s="73">
        <v>0</v>
      </c>
      <c r="F36" s="1"/>
      <c r="G36" s="16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8.15" customHeight="1">
      <c r="A37" s="1"/>
      <c r="B37" s="14"/>
      <c r="C37" s="1"/>
      <c r="D37" s="1"/>
      <c r="E37" s="23"/>
      <c r="F37" s="1"/>
      <c r="G37" s="16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s="8" customFormat="1" ht="20.149999999999999" customHeight="1">
      <c r="A38" s="3"/>
      <c r="B38" s="12" t="s">
        <v>25</v>
      </c>
      <c r="C38" s="3"/>
      <c r="D38" s="3"/>
      <c r="E38" s="24"/>
      <c r="F38" s="3"/>
      <c r="G38" s="2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ht="4" customHeight="1">
      <c r="A39" s="1"/>
      <c r="B39" s="14"/>
      <c r="C39" s="1"/>
      <c r="D39" s="1"/>
      <c r="E39" s="23"/>
      <c r="F39" s="1"/>
      <c r="G39" s="16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20.149999999999999" customHeight="1">
      <c r="A40" s="1"/>
      <c r="B40" s="14"/>
      <c r="C40" s="1" t="s">
        <v>26</v>
      </c>
      <c r="D40" s="1"/>
      <c r="E40" s="75">
        <v>10</v>
      </c>
      <c r="F40" s="1"/>
      <c r="G40" s="1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20.149999999999999" customHeight="1">
      <c r="A41" s="1"/>
      <c r="B41" s="14"/>
      <c r="C41" s="1" t="s">
        <v>27</v>
      </c>
      <c r="D41" s="1"/>
      <c r="E41" s="73">
        <v>0.03</v>
      </c>
      <c r="F41" s="57"/>
      <c r="G41" s="16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20.149999999999999" customHeight="1">
      <c r="A42" s="1"/>
      <c r="B42" s="14"/>
      <c r="C42" s="1" t="s">
        <v>28</v>
      </c>
      <c r="D42" s="1"/>
      <c r="E42" s="73">
        <v>0.03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8.15" customHeight="1">
      <c r="A43" s="1"/>
      <c r="B43" s="14"/>
      <c r="C43" s="1"/>
      <c r="D43" s="1"/>
      <c r="E43" s="2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s="8" customFormat="1" ht="20.149999999999999" customHeight="1">
      <c r="A44" s="3"/>
      <c r="B44" s="12" t="s">
        <v>29</v>
      </c>
      <c r="C44" s="3"/>
      <c r="D44" s="3"/>
      <c r="E44" s="24"/>
      <c r="F44" s="3"/>
      <c r="G44" s="21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ht="4" customHeight="1">
      <c r="A45" s="1"/>
      <c r="B45" s="14"/>
      <c r="C45" s="1"/>
      <c r="D45" s="1"/>
      <c r="E45" s="23"/>
      <c r="F45" s="1"/>
      <c r="G45" s="16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20.149999999999999" customHeight="1">
      <c r="A46" s="1"/>
      <c r="B46" s="14"/>
      <c r="C46" s="1" t="s">
        <v>30</v>
      </c>
      <c r="D46" s="1"/>
      <c r="E46" s="73">
        <v>0.06</v>
      </c>
      <c r="F46" s="25"/>
      <c r="G46" s="2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20.149999999999999" customHeight="1">
      <c r="A47" s="1"/>
      <c r="B47" s="14"/>
      <c r="C47" s="1" t="s">
        <v>31</v>
      </c>
      <c r="D47" s="1"/>
      <c r="E47" s="76">
        <v>0.2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8.15" customHeight="1">
      <c r="A48" s="1"/>
      <c r="B48" s="27"/>
      <c r="C48" s="28"/>
      <c r="D48" s="28"/>
      <c r="E48" s="29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20.149999999999999" customHeight="1" thickBot="1">
      <c r="A49" s="1"/>
      <c r="B49" s="1"/>
      <c r="C49" s="1"/>
      <c r="D49" s="1"/>
      <c r="E49" s="2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20.149999999999999" customHeight="1" thickBot="1">
      <c r="A50" s="1"/>
      <c r="B50" s="4" t="s">
        <v>32</v>
      </c>
      <c r="C50" s="5"/>
      <c r="D50" s="5"/>
      <c r="E50" s="6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20.149999999999999" customHeight="1">
      <c r="A51" s="1"/>
      <c r="B51" s="14"/>
      <c r="C51" s="1"/>
      <c r="D51" s="1" t="s">
        <v>33</v>
      </c>
      <c r="E51" s="30">
        <f>IRR(E96:P96)</f>
        <v>0.1189887635068021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20.149999999999999" customHeight="1">
      <c r="A52" s="1"/>
      <c r="B52" s="14"/>
      <c r="C52" s="1"/>
      <c r="D52" s="1" t="s">
        <v>34</v>
      </c>
      <c r="E52" s="30">
        <f>IRR(E115:P115)</f>
        <v>0.10944858603241836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ht="20.149999999999999" customHeight="1">
      <c r="A53" s="1"/>
      <c r="B53" s="14"/>
      <c r="C53" s="1"/>
      <c r="D53" s="1" t="s">
        <v>35</v>
      </c>
      <c r="E53" s="30">
        <f>AVERAGE(F120:P120)</f>
        <v>9.1770897571566548E-2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20.149999999999999" customHeight="1">
      <c r="A54" s="1"/>
      <c r="B54" s="27"/>
      <c r="C54" s="28"/>
      <c r="D54" s="28" t="s">
        <v>36</v>
      </c>
      <c r="E54" s="31">
        <f>SUM(F115:P115)/ABS(E15)</f>
        <v>2.4225578988564589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20.149999999999999" customHeight="1">
      <c r="A55" s="1"/>
      <c r="B55" s="1"/>
      <c r="C55" s="1"/>
      <c r="D55" s="1"/>
      <c r="E55" s="2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3"/>
    </row>
    <row r="56" spans="1:18" s="8" customFormat="1" ht="20.149999999999999" customHeight="1">
      <c r="A56" s="3"/>
      <c r="B56" s="32" t="s">
        <v>37</v>
      </c>
      <c r="C56" s="32"/>
      <c r="D56" s="32"/>
      <c r="E56" s="32">
        <v>0</v>
      </c>
      <c r="F56" s="32">
        <v>1</v>
      </c>
      <c r="G56" s="32">
        <v>2</v>
      </c>
      <c r="H56" s="32">
        <v>3</v>
      </c>
      <c r="I56" s="32">
        <v>4</v>
      </c>
      <c r="J56" s="32">
        <v>5</v>
      </c>
      <c r="K56" s="32">
        <v>6</v>
      </c>
      <c r="L56" s="32">
        <v>7</v>
      </c>
      <c r="M56" s="32">
        <v>8</v>
      </c>
      <c r="N56" s="32">
        <v>9</v>
      </c>
      <c r="O56" s="32">
        <v>10</v>
      </c>
      <c r="P56" s="32">
        <v>11</v>
      </c>
      <c r="Q56" s="33"/>
      <c r="R56" s="34"/>
    </row>
    <row r="57" spans="1:18" s="8" customFormat="1" ht="20.149999999999999" customHeight="1">
      <c r="A57" s="3"/>
      <c r="B57" s="32" t="s">
        <v>38</v>
      </c>
      <c r="C57" s="32"/>
      <c r="D57" s="32"/>
      <c r="E57" s="35">
        <v>44530</v>
      </c>
      <c r="F57" s="35">
        <f>EOMONTH(E57,12)</f>
        <v>44895</v>
      </c>
      <c r="G57" s="35">
        <f>EOMONTH(F57,12)</f>
        <v>45260</v>
      </c>
      <c r="H57" s="35">
        <f t="shared" ref="H57:P57" si="0">EOMONTH(G57,12)</f>
        <v>45626</v>
      </c>
      <c r="I57" s="35">
        <f t="shared" si="0"/>
        <v>45991</v>
      </c>
      <c r="J57" s="35">
        <f t="shared" si="0"/>
        <v>46356</v>
      </c>
      <c r="K57" s="35">
        <f t="shared" si="0"/>
        <v>46721</v>
      </c>
      <c r="L57" s="35">
        <f t="shared" si="0"/>
        <v>47087</v>
      </c>
      <c r="M57" s="35">
        <f t="shared" si="0"/>
        <v>47452</v>
      </c>
      <c r="N57" s="35">
        <f t="shared" si="0"/>
        <v>47817</v>
      </c>
      <c r="O57" s="35">
        <f t="shared" si="0"/>
        <v>48182</v>
      </c>
      <c r="P57" s="35">
        <f t="shared" si="0"/>
        <v>48548</v>
      </c>
      <c r="Q57" s="36"/>
      <c r="R57" s="32" t="s">
        <v>1</v>
      </c>
    </row>
    <row r="58" spans="1:18" ht="8.15" customHeight="1">
      <c r="A58" s="1"/>
      <c r="B58" s="1"/>
      <c r="C58" s="1"/>
      <c r="D58" s="1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1"/>
    </row>
    <row r="59" spans="1:18" ht="20.149999999999999" customHeight="1">
      <c r="A59" s="53"/>
      <c r="B59" s="1"/>
      <c r="C59" s="1"/>
      <c r="D59" s="1" t="s">
        <v>39</v>
      </c>
      <c r="E59" s="37"/>
      <c r="F59" s="38"/>
      <c r="G59" s="39">
        <v>3300</v>
      </c>
      <c r="H59" s="39">
        <v>2500</v>
      </c>
      <c r="I59" s="39">
        <v>3300</v>
      </c>
      <c r="J59" s="39">
        <v>2500</v>
      </c>
      <c r="K59" s="39">
        <v>3300</v>
      </c>
      <c r="L59" s="39">
        <v>2500</v>
      </c>
      <c r="M59" s="39">
        <v>3300</v>
      </c>
      <c r="N59" s="39">
        <v>2500</v>
      </c>
      <c r="O59" s="39">
        <v>3300</v>
      </c>
      <c r="P59" s="39">
        <v>2500</v>
      </c>
      <c r="Q59" s="40"/>
      <c r="R59" s="1" t="s">
        <v>40</v>
      </c>
    </row>
    <row r="60" spans="1:18" ht="20.149999999999999" customHeight="1">
      <c r="A60" s="53"/>
      <c r="B60" s="1"/>
      <c r="C60" s="1"/>
      <c r="D60" s="1" t="s">
        <v>41</v>
      </c>
      <c r="E60" s="60"/>
      <c r="F60" s="61"/>
      <c r="G60" s="66">
        <f>E23</f>
        <v>2.6</v>
      </c>
      <c r="H60" s="66">
        <f>G60*(1+$E$24)</f>
        <v>2.6780000000000004</v>
      </c>
      <c r="I60" s="66">
        <f t="shared" ref="I60:P60" si="1">H60*(1+$E$24)</f>
        <v>2.7583400000000005</v>
      </c>
      <c r="J60" s="66">
        <f t="shared" si="1"/>
        <v>2.8410902000000005</v>
      </c>
      <c r="K60" s="66">
        <f t="shared" si="1"/>
        <v>2.9263229060000007</v>
      </c>
      <c r="L60" s="66">
        <f t="shared" si="1"/>
        <v>3.0141125931800006</v>
      </c>
      <c r="M60" s="66">
        <f t="shared" si="1"/>
        <v>3.1045359709754008</v>
      </c>
      <c r="N60" s="66">
        <f t="shared" si="1"/>
        <v>3.1976720501046629</v>
      </c>
      <c r="O60" s="66">
        <f t="shared" si="1"/>
        <v>3.2936022116078028</v>
      </c>
      <c r="P60" s="66">
        <f t="shared" si="1"/>
        <v>3.3924102779560368</v>
      </c>
      <c r="Q60" s="41"/>
      <c r="R60" s="1" t="s">
        <v>42</v>
      </c>
    </row>
    <row r="61" spans="1:18" s="43" customFormat="1" ht="20.149999999999999" customHeight="1">
      <c r="A61" s="53"/>
      <c r="B61" s="42"/>
      <c r="C61" s="42" t="s">
        <v>43</v>
      </c>
      <c r="D61" s="42"/>
      <c r="E61" s="60"/>
      <c r="F61" s="42">
        <v>0</v>
      </c>
      <c r="G61" s="42">
        <f>(G59*G60*$E$6)</f>
        <v>729300</v>
      </c>
      <c r="H61" s="42">
        <f t="shared" ref="H61:P61" si="2">(H59*H60*$E$6)</f>
        <v>569075.00000000012</v>
      </c>
      <c r="I61" s="42">
        <f t="shared" si="2"/>
        <v>773714.37000000011</v>
      </c>
      <c r="J61" s="42">
        <f t="shared" si="2"/>
        <v>603731.6675000001</v>
      </c>
      <c r="K61" s="42">
        <f t="shared" si="2"/>
        <v>820833.57513300015</v>
      </c>
      <c r="L61" s="42">
        <f t="shared" si="2"/>
        <v>640498.92605075007</v>
      </c>
      <c r="M61" s="42">
        <f t="shared" si="2"/>
        <v>870822.33985859994</v>
      </c>
      <c r="N61" s="42">
        <f t="shared" si="2"/>
        <v>679505.31064724084</v>
      </c>
      <c r="O61" s="42">
        <f t="shared" si="2"/>
        <v>923855.42035598878</v>
      </c>
      <c r="P61" s="42">
        <f t="shared" si="2"/>
        <v>720887.18406565778</v>
      </c>
      <c r="Q61" s="42"/>
      <c r="R61" s="42"/>
    </row>
    <row r="62" spans="1:18" s="43" customFormat="1" ht="20.149999999999999" customHeight="1">
      <c r="A62" s="42"/>
      <c r="B62" s="42"/>
      <c r="C62" s="42" t="s">
        <v>44</v>
      </c>
      <c r="D62" s="42"/>
      <c r="E62" s="60"/>
      <c r="F62" s="60">
        <v>0</v>
      </c>
      <c r="G62" s="60">
        <f t="shared" ref="G62:O62" si="3">MAX(-G61,-F87+F81)</f>
        <v>-373668.66547499999</v>
      </c>
      <c r="H62" s="60">
        <f t="shared" si="3"/>
        <v>-476257.74460255622</v>
      </c>
      <c r="I62" s="60">
        <f t="shared" si="3"/>
        <v>-492760.9437338977</v>
      </c>
      <c r="J62" s="60">
        <f t="shared" si="3"/>
        <v>-470227.66949372564</v>
      </c>
      <c r="K62" s="60">
        <f t="shared" si="3"/>
        <v>-492060.78913711815</v>
      </c>
      <c r="L62" s="60">
        <f t="shared" si="3"/>
        <v>-470898.61174527305</v>
      </c>
      <c r="M62" s="60">
        <f t="shared" si="3"/>
        <v>-493211.46469762345</v>
      </c>
      <c r="N62" s="60">
        <f t="shared" si="3"/>
        <v>-471668.77575743495</v>
      </c>
      <c r="O62" s="60">
        <f t="shared" si="3"/>
        <v>-494563.0627903234</v>
      </c>
      <c r="P62" s="60">
        <v>0</v>
      </c>
      <c r="Q62" s="42"/>
      <c r="R62" s="42"/>
    </row>
    <row r="63" spans="1:18" s="45" customFormat="1" ht="20.149999999999999" customHeight="1">
      <c r="A63" s="44"/>
      <c r="B63" s="44" t="s">
        <v>45</v>
      </c>
      <c r="C63" s="44"/>
      <c r="D63" s="44"/>
      <c r="E63" s="62"/>
      <c r="F63" s="62">
        <f t="shared" ref="F63:P63" si="4">SUM(F61:F62)</f>
        <v>0</v>
      </c>
      <c r="G63" s="62">
        <f t="shared" si="4"/>
        <v>355631.33452500001</v>
      </c>
      <c r="H63" s="62">
        <f t="shared" si="4"/>
        <v>92817.255397443892</v>
      </c>
      <c r="I63" s="62">
        <f t="shared" si="4"/>
        <v>280953.42626610241</v>
      </c>
      <c r="J63" s="62">
        <f t="shared" si="4"/>
        <v>133503.99800627446</v>
      </c>
      <c r="K63" s="62">
        <f t="shared" si="4"/>
        <v>328772.785995882</v>
      </c>
      <c r="L63" s="62">
        <f t="shared" si="4"/>
        <v>169600.31430547702</v>
      </c>
      <c r="M63" s="62">
        <f t="shared" si="4"/>
        <v>377610.87516097649</v>
      </c>
      <c r="N63" s="62">
        <f t="shared" si="4"/>
        <v>207836.53488980589</v>
      </c>
      <c r="O63" s="62">
        <f t="shared" si="4"/>
        <v>429292.35756566538</v>
      </c>
      <c r="P63" s="62">
        <f t="shared" si="4"/>
        <v>720887.18406565778</v>
      </c>
      <c r="Q63" s="44"/>
      <c r="R63" s="44"/>
    </row>
    <row r="64" spans="1:18" s="43" customFormat="1" ht="4" customHeight="1">
      <c r="A64" s="42"/>
      <c r="B64" s="42"/>
      <c r="C64" s="42"/>
      <c r="D64" s="42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42"/>
      <c r="R64" s="42"/>
    </row>
    <row r="65" spans="1:18" s="43" customFormat="1" ht="20.149999999999999" customHeight="1">
      <c r="A65" s="42"/>
      <c r="B65" s="42"/>
      <c r="C65" s="42" t="s">
        <v>46</v>
      </c>
      <c r="D65" s="42"/>
      <c r="E65" s="60"/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42"/>
      <c r="R65" s="42"/>
    </row>
    <row r="66" spans="1:18" s="43" customFormat="1" ht="20.149999999999999" customHeight="1">
      <c r="A66" s="42"/>
      <c r="B66" s="42"/>
      <c r="C66" s="42" t="s">
        <v>47</v>
      </c>
      <c r="D66" s="42"/>
      <c r="E66" s="60"/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42"/>
      <c r="R66" s="42"/>
    </row>
    <row r="67" spans="1:18" s="43" customFormat="1" ht="20.149999999999999" customHeight="1">
      <c r="A67" s="42"/>
      <c r="B67" s="42"/>
      <c r="C67" s="42" t="s">
        <v>48</v>
      </c>
      <c r="D67" s="42"/>
      <c r="E67" s="60"/>
      <c r="F67" s="60">
        <v>0</v>
      </c>
      <c r="G67" s="60">
        <v>0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42"/>
      <c r="R67" s="42"/>
    </row>
    <row r="68" spans="1:18" s="43" customFormat="1" ht="20.149999999999999" customHeight="1">
      <c r="A68" s="44"/>
      <c r="B68" s="42"/>
      <c r="C68" s="42" t="s">
        <v>49</v>
      </c>
      <c r="D68" s="42"/>
      <c r="E68" s="60"/>
      <c r="F68" s="60">
        <v>-119607.75</v>
      </c>
      <c r="G68" s="60">
        <f t="shared" ref="G68:O68" si="5">F68*(1+Cultural_Cost_Inflation)</f>
        <v>-121999.905</v>
      </c>
      <c r="H68" s="60">
        <f t="shared" si="5"/>
        <v>-124439.9031</v>
      </c>
      <c r="I68" s="60">
        <f t="shared" si="5"/>
        <v>-126928.701162</v>
      </c>
      <c r="J68" s="60">
        <f t="shared" si="5"/>
        <v>-129467.27518524</v>
      </c>
      <c r="K68" s="60">
        <f t="shared" si="5"/>
        <v>-132056.62068894479</v>
      </c>
      <c r="L68" s="60">
        <f t="shared" si="5"/>
        <v>-134697.75310272368</v>
      </c>
      <c r="M68" s="60">
        <f t="shared" si="5"/>
        <v>-137391.70816477816</v>
      </c>
      <c r="N68" s="60">
        <f t="shared" si="5"/>
        <v>-140139.54232807373</v>
      </c>
      <c r="O68" s="60">
        <f t="shared" si="5"/>
        <v>-142942.33317463522</v>
      </c>
      <c r="P68" s="60">
        <v>0</v>
      </c>
      <c r="Q68" s="42"/>
      <c r="R68" s="42"/>
    </row>
    <row r="69" spans="1:18" s="43" customFormat="1" ht="20.149999999999999" customHeight="1">
      <c r="A69" s="44"/>
      <c r="B69" s="42"/>
      <c r="C69" s="42"/>
      <c r="D69" s="46" t="s">
        <v>50</v>
      </c>
      <c r="E69" s="60"/>
      <c r="F69" s="60">
        <f t="shared" ref="F69:O69" si="6">F68*Cultural_Cost_Adjustment</f>
        <v>0</v>
      </c>
      <c r="G69" s="60">
        <f t="shared" si="6"/>
        <v>0</v>
      </c>
      <c r="H69" s="60">
        <f t="shared" si="6"/>
        <v>0</v>
      </c>
      <c r="I69" s="60">
        <f t="shared" si="6"/>
        <v>0</v>
      </c>
      <c r="J69" s="60">
        <f t="shared" si="6"/>
        <v>0</v>
      </c>
      <c r="K69" s="60">
        <f t="shared" si="6"/>
        <v>0</v>
      </c>
      <c r="L69" s="60">
        <f t="shared" si="6"/>
        <v>0</v>
      </c>
      <c r="M69" s="60">
        <f t="shared" si="6"/>
        <v>0</v>
      </c>
      <c r="N69" s="60">
        <f t="shared" si="6"/>
        <v>0</v>
      </c>
      <c r="O69" s="60">
        <f t="shared" si="6"/>
        <v>0</v>
      </c>
      <c r="P69" s="60">
        <v>0</v>
      </c>
      <c r="Q69" s="42"/>
      <c r="R69" s="42"/>
    </row>
    <row r="70" spans="1:18" s="43" customFormat="1" ht="20.149999999999999" customHeight="1">
      <c r="A70" s="44"/>
      <c r="B70" s="42"/>
      <c r="C70" s="42" t="s">
        <v>51</v>
      </c>
      <c r="D70" s="42"/>
      <c r="E70" s="60"/>
      <c r="F70" s="60">
        <v>-30183.09</v>
      </c>
      <c r="G70" s="60">
        <f t="shared" ref="G70:O70" si="7">F70*(1+Water_Cost_Inflation)</f>
        <v>-30786.751800000002</v>
      </c>
      <c r="H70" s="60">
        <f t="shared" si="7"/>
        <v>-31402.486836000004</v>
      </c>
      <c r="I70" s="60">
        <f t="shared" si="7"/>
        <v>-32030.536572720004</v>
      </c>
      <c r="J70" s="60">
        <f t="shared" si="7"/>
        <v>-32671.147304174407</v>
      </c>
      <c r="K70" s="60">
        <f t="shared" si="7"/>
        <v>-33324.570250257893</v>
      </c>
      <c r="L70" s="60">
        <f t="shared" si="7"/>
        <v>-33991.061655263053</v>
      </c>
      <c r="M70" s="60">
        <f t="shared" si="7"/>
        <v>-34670.882888368316</v>
      </c>
      <c r="N70" s="60">
        <f t="shared" si="7"/>
        <v>-35364.300546135681</v>
      </c>
      <c r="O70" s="60">
        <f t="shared" si="7"/>
        <v>-36071.586557058392</v>
      </c>
      <c r="P70" s="60">
        <v>0</v>
      </c>
      <c r="Q70" s="42"/>
      <c r="R70" s="42"/>
    </row>
    <row r="71" spans="1:18" s="43" customFormat="1" ht="20.149999999999999" customHeight="1">
      <c r="A71" s="44"/>
      <c r="B71" s="42"/>
      <c r="C71" s="42"/>
      <c r="D71" s="46" t="s">
        <v>50</v>
      </c>
      <c r="E71" s="60"/>
      <c r="F71" s="60">
        <f t="shared" ref="F71:O71" si="8">F70*Water_Cost_Adjustment</f>
        <v>0</v>
      </c>
      <c r="G71" s="60">
        <f t="shared" si="8"/>
        <v>0</v>
      </c>
      <c r="H71" s="60">
        <f t="shared" si="8"/>
        <v>0</v>
      </c>
      <c r="I71" s="60">
        <f t="shared" si="8"/>
        <v>0</v>
      </c>
      <c r="J71" s="60">
        <f t="shared" si="8"/>
        <v>0</v>
      </c>
      <c r="K71" s="60">
        <f t="shared" si="8"/>
        <v>0</v>
      </c>
      <c r="L71" s="60">
        <f t="shared" si="8"/>
        <v>0</v>
      </c>
      <c r="M71" s="60">
        <f t="shared" si="8"/>
        <v>0</v>
      </c>
      <c r="N71" s="60">
        <f t="shared" si="8"/>
        <v>0</v>
      </c>
      <c r="O71" s="60">
        <f t="shared" si="8"/>
        <v>0</v>
      </c>
      <c r="P71" s="60">
        <v>0</v>
      </c>
      <c r="Q71" s="42"/>
      <c r="R71" s="42"/>
    </row>
    <row r="72" spans="1:18" s="43" customFormat="1" ht="20.149999999999999" customHeight="1">
      <c r="A72" s="44"/>
      <c r="B72" s="42"/>
      <c r="C72" s="42" t="s">
        <v>52</v>
      </c>
      <c r="D72" s="42"/>
      <c r="E72" s="60"/>
      <c r="F72" s="60">
        <v>-45050</v>
      </c>
      <c r="G72" s="60">
        <v>-24650</v>
      </c>
      <c r="H72" s="60">
        <f t="shared" ref="H72:O72" si="9">F72*(1+Harvest_Cost_Inflation)</f>
        <v>-45951</v>
      </c>
      <c r="I72" s="60">
        <f t="shared" si="9"/>
        <v>-25143</v>
      </c>
      <c r="J72" s="60">
        <f t="shared" si="9"/>
        <v>-46870.020000000004</v>
      </c>
      <c r="K72" s="60">
        <f t="shared" si="9"/>
        <v>-25645.86</v>
      </c>
      <c r="L72" s="60">
        <f t="shared" si="9"/>
        <v>-47807.420400000003</v>
      </c>
      <c r="M72" s="60">
        <f t="shared" si="9"/>
        <v>-26158.7772</v>
      </c>
      <c r="N72" s="60">
        <f t="shared" si="9"/>
        <v>-48763.568808000004</v>
      </c>
      <c r="O72" s="60">
        <f t="shared" si="9"/>
        <v>-26681.952744000002</v>
      </c>
      <c r="P72" s="60">
        <v>0</v>
      </c>
      <c r="Q72" s="42"/>
      <c r="R72" s="42"/>
    </row>
    <row r="73" spans="1:18" s="43" customFormat="1" ht="20.149999999999999" customHeight="1">
      <c r="A73" s="44"/>
      <c r="B73" s="42"/>
      <c r="C73" s="42"/>
      <c r="D73" s="46" t="s">
        <v>50</v>
      </c>
      <c r="E73" s="60"/>
      <c r="F73" s="60">
        <f t="shared" ref="F73:O73" si="10">F72*Water_Cost_Adjustment</f>
        <v>0</v>
      </c>
      <c r="G73" s="60">
        <f t="shared" si="10"/>
        <v>0</v>
      </c>
      <c r="H73" s="60">
        <f t="shared" si="10"/>
        <v>0</v>
      </c>
      <c r="I73" s="60">
        <f t="shared" si="10"/>
        <v>0</v>
      </c>
      <c r="J73" s="60">
        <f t="shared" si="10"/>
        <v>0</v>
      </c>
      <c r="K73" s="60">
        <f t="shared" si="10"/>
        <v>0</v>
      </c>
      <c r="L73" s="60">
        <f t="shared" si="10"/>
        <v>0</v>
      </c>
      <c r="M73" s="60">
        <f t="shared" si="10"/>
        <v>0</v>
      </c>
      <c r="N73" s="60">
        <f t="shared" si="10"/>
        <v>0</v>
      </c>
      <c r="O73" s="60">
        <f t="shared" si="10"/>
        <v>0</v>
      </c>
      <c r="P73" s="60">
        <v>0</v>
      </c>
      <c r="Q73" s="42"/>
      <c r="R73" s="42"/>
    </row>
    <row r="74" spans="1:18" s="43" customFormat="1" ht="20.149999999999999" customHeight="1">
      <c r="A74" s="44"/>
      <c r="B74" s="42"/>
      <c r="C74" s="42" t="s">
        <v>53</v>
      </c>
      <c r="D74" s="42"/>
      <c r="E74" s="60"/>
      <c r="F74" s="60">
        <f>-9890.6</f>
        <v>-9890.6</v>
      </c>
      <c r="G74" s="60">
        <v>-9989.51</v>
      </c>
      <c r="H74" s="60">
        <v>-10089.370000000001</v>
      </c>
      <c r="I74" s="60">
        <v>-10190.33</v>
      </c>
      <c r="J74" s="60">
        <v>-10292.19</v>
      </c>
      <c r="K74" s="60">
        <v>-10395.11</v>
      </c>
      <c r="L74" s="60">
        <v>-10499.07</v>
      </c>
      <c r="M74" s="60">
        <v>-10604.04</v>
      </c>
      <c r="N74" s="60">
        <v>-10710.08</v>
      </c>
      <c r="O74" s="60">
        <v>-10817.19</v>
      </c>
      <c r="P74" s="60">
        <v>0</v>
      </c>
      <c r="Q74" s="42"/>
      <c r="R74" s="42"/>
    </row>
    <row r="75" spans="1:18" s="43" customFormat="1" ht="20.149999999999999" customHeight="1">
      <c r="A75" s="44"/>
      <c r="B75" s="42"/>
      <c r="C75" s="42" t="s">
        <v>54</v>
      </c>
      <c r="D75" s="42"/>
      <c r="E75" s="60"/>
      <c r="F75" s="60">
        <f t="shared" ref="F75:O75" si="11">-($E$12+$E$15)*0.015</f>
        <v>-79417.5</v>
      </c>
      <c r="G75" s="60">
        <f t="shared" si="11"/>
        <v>-79417.5</v>
      </c>
      <c r="H75" s="60">
        <f t="shared" si="11"/>
        <v>-79417.5</v>
      </c>
      <c r="I75" s="60">
        <f t="shared" si="11"/>
        <v>-79417.5</v>
      </c>
      <c r="J75" s="60">
        <f t="shared" si="11"/>
        <v>-79417.5</v>
      </c>
      <c r="K75" s="60">
        <f t="shared" si="11"/>
        <v>-79417.5</v>
      </c>
      <c r="L75" s="60">
        <f t="shared" si="11"/>
        <v>-79417.5</v>
      </c>
      <c r="M75" s="60">
        <f t="shared" si="11"/>
        <v>-79417.5</v>
      </c>
      <c r="N75" s="60">
        <f t="shared" si="11"/>
        <v>-79417.5</v>
      </c>
      <c r="O75" s="60">
        <f t="shared" si="11"/>
        <v>-79417.5</v>
      </c>
      <c r="P75" s="60">
        <v>0</v>
      </c>
      <c r="Q75" s="42"/>
      <c r="R75" s="42"/>
    </row>
    <row r="76" spans="1:18" s="43" customFormat="1" ht="20.149999999999999" customHeight="1">
      <c r="A76" s="44"/>
      <c r="B76" s="42"/>
      <c r="C76" s="42" t="s">
        <v>55</v>
      </c>
      <c r="D76" s="42"/>
      <c r="E76" s="60"/>
      <c r="F76" s="60">
        <v>-30000</v>
      </c>
      <c r="G76" s="60">
        <v>-30000</v>
      </c>
      <c r="H76" s="60">
        <v>-30000</v>
      </c>
      <c r="I76" s="60">
        <v>-30000</v>
      </c>
      <c r="J76" s="60">
        <v>-30000</v>
      </c>
      <c r="K76" s="60">
        <v>-30000</v>
      </c>
      <c r="L76" s="60">
        <v>-30000</v>
      </c>
      <c r="M76" s="60">
        <v>-30000</v>
      </c>
      <c r="N76" s="60">
        <v>-30000</v>
      </c>
      <c r="O76" s="60">
        <v>-30000</v>
      </c>
      <c r="P76" s="60">
        <v>0</v>
      </c>
      <c r="Q76" s="42"/>
      <c r="R76" s="42"/>
    </row>
    <row r="77" spans="1:18" s="45" customFormat="1">
      <c r="A77" s="44"/>
      <c r="B77" s="44" t="s">
        <v>56</v>
      </c>
      <c r="C77" s="44"/>
      <c r="D77" s="44"/>
      <c r="E77" s="62"/>
      <c r="F77" s="62">
        <f t="shared" ref="F77:P77" si="12">SUM(F65:F76)</f>
        <v>-314148.94</v>
      </c>
      <c r="G77" s="62">
        <f t="shared" si="12"/>
        <v>-296843.66680000001</v>
      </c>
      <c r="H77" s="62">
        <f t="shared" si="12"/>
        <v>-321300.25993599999</v>
      </c>
      <c r="I77" s="62">
        <f t="shared" si="12"/>
        <v>-303710.06773471995</v>
      </c>
      <c r="J77" s="62">
        <f t="shared" si="12"/>
        <v>-328718.13248941442</v>
      </c>
      <c r="K77" s="62">
        <f t="shared" si="12"/>
        <v>-310839.66093920264</v>
      </c>
      <c r="L77" s="62">
        <f t="shared" si="12"/>
        <v>-336412.80515798676</v>
      </c>
      <c r="M77" s="62">
        <f t="shared" si="12"/>
        <v>-318242.90825314645</v>
      </c>
      <c r="N77" s="62">
        <f t="shared" si="12"/>
        <v>-344394.99168220942</v>
      </c>
      <c r="O77" s="62">
        <f t="shared" si="12"/>
        <v>-325930.56247569364</v>
      </c>
      <c r="P77" s="62">
        <f t="shared" si="12"/>
        <v>0</v>
      </c>
      <c r="Q77" s="44"/>
      <c r="R77" s="44"/>
    </row>
    <row r="78" spans="1:18" s="43" customFormat="1">
      <c r="A78" s="42"/>
      <c r="B78" s="42"/>
      <c r="C78" s="42"/>
      <c r="D78" s="42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42"/>
      <c r="R78" s="42"/>
    </row>
    <row r="79" spans="1:18" s="43" customFormat="1">
      <c r="A79" s="42"/>
      <c r="B79" s="42"/>
      <c r="C79" s="42" t="s">
        <v>57</v>
      </c>
      <c r="D79" s="42"/>
      <c r="E79" s="60"/>
      <c r="F79" s="60">
        <v>-54633.36</v>
      </c>
      <c r="G79" s="60">
        <v>-63250.04</v>
      </c>
      <c r="H79" s="60">
        <v>-59950.04</v>
      </c>
      <c r="I79" s="60">
        <v>-56650.04</v>
      </c>
      <c r="J79" s="60">
        <v>-53350.04</v>
      </c>
      <c r="K79" s="60">
        <v>-50050.04</v>
      </c>
      <c r="L79" s="60">
        <v>-46750.04</v>
      </c>
      <c r="M79" s="60">
        <v>-43450.04</v>
      </c>
      <c r="N79" s="60">
        <v>-40150.04</v>
      </c>
      <c r="O79" s="60">
        <v>-42808.38</v>
      </c>
      <c r="P79" s="60">
        <v>0</v>
      </c>
      <c r="Q79" s="42"/>
      <c r="R79" s="42"/>
    </row>
    <row r="80" spans="1:18" s="43" customFormat="1" ht="20.149999999999999" customHeight="1">
      <c r="A80" s="42"/>
      <c r="B80" s="42"/>
      <c r="C80" s="42" t="s">
        <v>58</v>
      </c>
      <c r="D80" s="42"/>
      <c r="E80" s="60"/>
      <c r="F80" s="60">
        <v>0</v>
      </c>
      <c r="G80" s="60">
        <v>-110000.04</v>
      </c>
      <c r="H80" s="60">
        <v>-110000.04</v>
      </c>
      <c r="I80" s="60">
        <v>-110000.04</v>
      </c>
      <c r="J80" s="60">
        <v>-110000.04</v>
      </c>
      <c r="K80" s="60">
        <v>-110000.04</v>
      </c>
      <c r="L80" s="60">
        <v>-110000.04</v>
      </c>
      <c r="M80" s="60">
        <v>-110000.04</v>
      </c>
      <c r="N80" s="60">
        <v>-110000.04</v>
      </c>
      <c r="O80" s="60">
        <v>-110000</v>
      </c>
      <c r="P80" s="60">
        <v>0</v>
      </c>
      <c r="Q80" s="42"/>
      <c r="R80" s="42"/>
    </row>
    <row r="81" spans="1:20" s="43" customFormat="1" ht="14.25" customHeight="1">
      <c r="A81" s="42"/>
      <c r="B81" s="42"/>
      <c r="C81" s="42" t="s">
        <v>59</v>
      </c>
      <c r="D81" s="42"/>
      <c r="E81" s="60"/>
      <c r="F81" s="60">
        <f t="shared" ref="F81:P81" si="13">-($E$19/365)*(F$57-E$57)*F$88</f>
        <v>-4886.3654750000005</v>
      </c>
      <c r="G81" s="60">
        <f t="shared" si="13"/>
        <v>-11050.363277556251</v>
      </c>
      <c r="H81" s="60">
        <f t="shared" si="13"/>
        <v>-12560.967075454</v>
      </c>
      <c r="I81" s="60">
        <f t="shared" si="13"/>
        <v>-12428.488834459655</v>
      </c>
      <c r="J81" s="60">
        <f t="shared" si="13"/>
        <v>-12421.065482163425</v>
      </c>
      <c r="K81" s="60">
        <f t="shared" si="13"/>
        <v>-12429.936288233919</v>
      </c>
      <c r="L81" s="60">
        <f t="shared" si="13"/>
        <v>-12478.515827870624</v>
      </c>
      <c r="M81" s="60">
        <f t="shared" si="13"/>
        <v>-12454.30333215913</v>
      </c>
      <c r="N81" s="60">
        <f t="shared" si="13"/>
        <v>-12472.294440273074</v>
      </c>
      <c r="O81" s="60">
        <f t="shared" si="13"/>
        <v>-12565.735767107491</v>
      </c>
      <c r="P81" s="60">
        <f t="shared" si="13"/>
        <v>0</v>
      </c>
      <c r="Q81" s="42"/>
      <c r="R81" s="42"/>
    </row>
    <row r="82" spans="1:20" s="45" customFormat="1" ht="14.25" customHeight="1">
      <c r="A82" s="44"/>
      <c r="B82" s="44" t="s">
        <v>60</v>
      </c>
      <c r="C82" s="44"/>
      <c r="D82" s="44"/>
      <c r="E82" s="62"/>
      <c r="F82" s="62">
        <f>SUM(F79:F81)</f>
        <v>-59519.725474999999</v>
      </c>
      <c r="G82" s="62">
        <f t="shared" ref="G82:P82" si="14">SUM(G79:G81)</f>
        <v>-184300.44327755625</v>
      </c>
      <c r="H82" s="62">
        <f t="shared" si="14"/>
        <v>-182511.047075454</v>
      </c>
      <c r="I82" s="62">
        <f t="shared" si="14"/>
        <v>-179078.56883445964</v>
      </c>
      <c r="J82" s="62">
        <f t="shared" si="14"/>
        <v>-175771.14548216341</v>
      </c>
      <c r="K82" s="62">
        <f t="shared" si="14"/>
        <v>-172480.01628823392</v>
      </c>
      <c r="L82" s="62">
        <f t="shared" si="14"/>
        <v>-169228.59582787062</v>
      </c>
      <c r="M82" s="62">
        <f t="shared" si="14"/>
        <v>-165904.38333215911</v>
      </c>
      <c r="N82" s="62">
        <f t="shared" si="14"/>
        <v>-162622.37444027307</v>
      </c>
      <c r="O82" s="62">
        <f t="shared" si="14"/>
        <v>-165374.11576710749</v>
      </c>
      <c r="P82" s="62">
        <f t="shared" si="14"/>
        <v>0</v>
      </c>
      <c r="Q82" s="44"/>
      <c r="R82" s="44"/>
    </row>
    <row r="83" spans="1:20" s="43" customFormat="1" ht="14.25" customHeight="1" outlineLevel="1">
      <c r="A83" s="42"/>
      <c r="B83" s="42"/>
      <c r="C83" s="42"/>
      <c r="D83" s="42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42"/>
      <c r="R83" s="42"/>
    </row>
    <row r="84" spans="1:20" s="43" customFormat="1" ht="14.25" customHeight="1" outlineLevel="1">
      <c r="A84" s="42"/>
      <c r="B84" s="42" t="s">
        <v>61</v>
      </c>
      <c r="C84" s="42"/>
      <c r="D84" s="42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42"/>
      <c r="R84" s="42"/>
    </row>
    <row r="85" spans="1:20" s="43" customFormat="1" ht="14.25" customHeight="1" outlineLevel="1">
      <c r="A85" s="42"/>
      <c r="B85" s="42"/>
      <c r="C85" s="42"/>
      <c r="D85" s="42" t="s">
        <v>62</v>
      </c>
      <c r="E85" s="60"/>
      <c r="F85" s="60">
        <v>0</v>
      </c>
      <c r="G85" s="60">
        <f t="shared" ref="G85:O85" si="15">F87+F93</f>
        <v>368782.3</v>
      </c>
      <c r="H85" s="60">
        <f t="shared" si="15"/>
        <v>465207.38132499997</v>
      </c>
      <c r="I85" s="60">
        <f t="shared" si="15"/>
        <v>480199.97665844369</v>
      </c>
      <c r="J85" s="60">
        <f t="shared" si="15"/>
        <v>457799.18065926596</v>
      </c>
      <c r="K85" s="60">
        <f t="shared" si="15"/>
        <v>479639.72365495469</v>
      </c>
      <c r="L85" s="60">
        <f t="shared" si="15"/>
        <v>458468.67545703915</v>
      </c>
      <c r="M85" s="60">
        <f t="shared" si="15"/>
        <v>480732.94886975281</v>
      </c>
      <c r="N85" s="60">
        <f t="shared" si="15"/>
        <v>459214.47242527583</v>
      </c>
      <c r="O85" s="60">
        <f t="shared" si="15"/>
        <v>482090.76835005032</v>
      </c>
      <c r="P85" s="60">
        <f>O87+O93</f>
        <v>0</v>
      </c>
      <c r="Q85" s="42"/>
      <c r="R85" s="42"/>
    </row>
    <row r="86" spans="1:20" s="43" customFormat="1" ht="14.25" customHeight="1" outlineLevel="1">
      <c r="A86" s="42"/>
      <c r="B86" s="42"/>
      <c r="C86" s="42"/>
      <c r="D86" s="42" t="s">
        <v>63</v>
      </c>
      <c r="E86" s="60"/>
      <c r="F86" s="60">
        <f>MAX(0,-(SUM(F77:F80)))</f>
        <v>368782.3</v>
      </c>
      <c r="G86" s="60">
        <f t="shared" ref="G86:P86" si="16">G62-G77-SUM(G79:G80)</f>
        <v>96425.081325000006</v>
      </c>
      <c r="H86" s="60">
        <f t="shared" si="16"/>
        <v>14992.595333443751</v>
      </c>
      <c r="I86" s="60">
        <f t="shared" si="16"/>
        <v>-22400.795999177761</v>
      </c>
      <c r="J86" s="60">
        <f t="shared" si="16"/>
        <v>21840.542995688767</v>
      </c>
      <c r="K86" s="60">
        <f t="shared" si="16"/>
        <v>-21171.048197915516</v>
      </c>
      <c r="L86" s="60">
        <f t="shared" si="16"/>
        <v>22264.273412713694</v>
      </c>
      <c r="M86" s="60">
        <f t="shared" si="16"/>
        <v>-21518.476444477012</v>
      </c>
      <c r="N86" s="60">
        <f t="shared" si="16"/>
        <v>22876.295924774458</v>
      </c>
      <c r="O86" s="60">
        <f t="shared" si="16"/>
        <v>-15824.120314629748</v>
      </c>
      <c r="P86" s="60">
        <f t="shared" si="16"/>
        <v>0</v>
      </c>
      <c r="Q86" s="42"/>
      <c r="R86" s="42"/>
    </row>
    <row r="87" spans="1:20" s="43" customFormat="1" ht="14.25" customHeight="1" outlineLevel="1">
      <c r="A87" s="42"/>
      <c r="B87" s="42"/>
      <c r="C87" s="42"/>
      <c r="D87" s="42" t="s">
        <v>64</v>
      </c>
      <c r="E87" s="60"/>
      <c r="F87" s="60">
        <f>SUM(F85:F86)</f>
        <v>368782.3</v>
      </c>
      <c r="G87" s="60">
        <f>SUM(G85:G86)</f>
        <v>465207.38132499997</v>
      </c>
      <c r="H87" s="60">
        <f t="shared" ref="H87:P87" si="17">SUM(H85:H86)</f>
        <v>480199.97665844369</v>
      </c>
      <c r="I87" s="60">
        <f t="shared" si="17"/>
        <v>457799.18065926596</v>
      </c>
      <c r="J87" s="60">
        <f t="shared" si="17"/>
        <v>479639.72365495469</v>
      </c>
      <c r="K87" s="60">
        <f t="shared" si="17"/>
        <v>458468.67545703915</v>
      </c>
      <c r="L87" s="60">
        <f t="shared" si="17"/>
        <v>480732.94886975281</v>
      </c>
      <c r="M87" s="60">
        <f t="shared" si="17"/>
        <v>459214.47242527583</v>
      </c>
      <c r="N87" s="60">
        <f t="shared" si="17"/>
        <v>482090.76835005032</v>
      </c>
      <c r="O87" s="60">
        <f t="shared" si="17"/>
        <v>466266.64803542057</v>
      </c>
      <c r="P87" s="60">
        <f t="shared" si="17"/>
        <v>0</v>
      </c>
      <c r="Q87" s="42"/>
      <c r="R87" s="42"/>
    </row>
    <row r="88" spans="1:20" s="43" customFormat="1" ht="14.25" customHeight="1" outlineLevel="1">
      <c r="A88" s="42"/>
      <c r="B88" s="42" t="s">
        <v>65</v>
      </c>
      <c r="C88" s="42"/>
      <c r="D88" s="42"/>
      <c r="E88" s="60"/>
      <c r="F88" s="60">
        <f>AVERAGE(F87,F85)</f>
        <v>184391.15</v>
      </c>
      <c r="G88" s="60">
        <f>AVERAGE(G87,G85)</f>
        <v>416994.84066250001</v>
      </c>
      <c r="H88" s="60">
        <f t="shared" ref="H88:P88" si="18">AVERAGE(H87,H85)</f>
        <v>472703.67899172183</v>
      </c>
      <c r="I88" s="60">
        <f t="shared" si="18"/>
        <v>468999.57865885482</v>
      </c>
      <c r="J88" s="60">
        <f t="shared" si="18"/>
        <v>468719.45215711033</v>
      </c>
      <c r="K88" s="60">
        <f t="shared" si="18"/>
        <v>469054.19955599692</v>
      </c>
      <c r="L88" s="60">
        <f t="shared" si="18"/>
        <v>469600.81216339598</v>
      </c>
      <c r="M88" s="60">
        <f t="shared" si="18"/>
        <v>469973.71064751432</v>
      </c>
      <c r="N88" s="60">
        <f t="shared" si="18"/>
        <v>470652.62038766308</v>
      </c>
      <c r="O88" s="60">
        <f t="shared" si="18"/>
        <v>474178.70819273544</v>
      </c>
      <c r="P88" s="60">
        <f t="shared" si="18"/>
        <v>0</v>
      </c>
      <c r="Q88" s="42"/>
      <c r="R88" s="42"/>
    </row>
    <row r="89" spans="1:20" s="43" customFormat="1" ht="14.25" customHeight="1">
      <c r="A89" s="42"/>
      <c r="B89" s="42"/>
      <c r="C89" s="42"/>
      <c r="D89" s="42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42"/>
      <c r="R89" s="42"/>
    </row>
    <row r="90" spans="1:20" s="43" customFormat="1" ht="14.25" customHeight="1">
      <c r="A90" s="42"/>
      <c r="B90" s="42"/>
      <c r="C90" s="42" t="s">
        <v>66</v>
      </c>
      <c r="D90" s="42"/>
      <c r="E90" s="60"/>
      <c r="F90" s="60">
        <f t="shared" ref="F90:P90" si="19">IF(Ranch_Sale_Year=F$56,$E$8*(1+$E$41)^F$56,0)</f>
        <v>0</v>
      </c>
      <c r="G90" s="60">
        <f t="shared" si="19"/>
        <v>0</v>
      </c>
      <c r="H90" s="60">
        <f t="shared" si="19"/>
        <v>0</v>
      </c>
      <c r="I90" s="60">
        <f t="shared" si="19"/>
        <v>0</v>
      </c>
      <c r="J90" s="60">
        <f t="shared" si="19"/>
        <v>0</v>
      </c>
      <c r="K90" s="60">
        <f t="shared" si="19"/>
        <v>0</v>
      </c>
      <c r="L90" s="60">
        <f t="shared" si="19"/>
        <v>0</v>
      </c>
      <c r="M90" s="60">
        <f t="shared" si="19"/>
        <v>0</v>
      </c>
      <c r="N90" s="60">
        <f t="shared" si="19"/>
        <v>0</v>
      </c>
      <c r="O90" s="60">
        <f t="shared" si="19"/>
        <v>6652386.0777534032</v>
      </c>
      <c r="P90" s="60">
        <f t="shared" si="19"/>
        <v>0</v>
      </c>
      <c r="Q90" s="42"/>
      <c r="R90" s="42"/>
      <c r="T90" s="43">
        <f>O90/85</f>
        <v>78263.365620628276</v>
      </c>
    </row>
    <row r="91" spans="1:20" s="43" customFormat="1" ht="14.25" customHeight="1">
      <c r="A91" s="42"/>
      <c r="B91" s="42"/>
      <c r="C91" s="42" t="s">
        <v>67</v>
      </c>
      <c r="D91" s="42"/>
      <c r="E91" s="60"/>
      <c r="F91" s="60">
        <f t="shared" ref="F91:P91" si="20">IF(Ranch_Sale_Year=F$56,-(F$90*Sales_Expenses),0)</f>
        <v>0</v>
      </c>
      <c r="G91" s="60">
        <f t="shared" si="20"/>
        <v>0</v>
      </c>
      <c r="H91" s="60">
        <f t="shared" si="20"/>
        <v>0</v>
      </c>
      <c r="I91" s="60">
        <f t="shared" si="20"/>
        <v>0</v>
      </c>
      <c r="J91" s="60">
        <f t="shared" si="20"/>
        <v>0</v>
      </c>
      <c r="K91" s="60">
        <f t="shared" si="20"/>
        <v>0</v>
      </c>
      <c r="L91" s="60">
        <f t="shared" si="20"/>
        <v>0</v>
      </c>
      <c r="M91" s="60">
        <f t="shared" si="20"/>
        <v>0</v>
      </c>
      <c r="N91" s="60">
        <f t="shared" si="20"/>
        <v>0</v>
      </c>
      <c r="O91" s="60">
        <f t="shared" si="20"/>
        <v>-199571.58233260209</v>
      </c>
      <c r="P91" s="60">
        <f t="shared" si="20"/>
        <v>0</v>
      </c>
      <c r="Q91" s="42"/>
      <c r="R91" s="42"/>
    </row>
    <row r="92" spans="1:20" s="43" customFormat="1" ht="20.149999999999999" customHeight="1">
      <c r="A92" s="42"/>
      <c r="B92" s="42"/>
      <c r="C92" s="42" t="s">
        <v>68</v>
      </c>
      <c r="D92" s="42"/>
      <c r="E92" s="60"/>
      <c r="F92" s="60">
        <f>IF(Ranch_Sale_Year=F$56,-SUM(#REF!,$F80:F80),0)</f>
        <v>0</v>
      </c>
      <c r="G92" s="60">
        <f>IF(Ranch_Sale_Year=G$56,-SUM(#REF!,$F80:G80),0)</f>
        <v>0</v>
      </c>
      <c r="H92" s="60">
        <f>IF(Ranch_Sale_Year=H$56,-SUM(#REF!,$F80:H80),0)</f>
        <v>0</v>
      </c>
      <c r="I92" s="60">
        <f>IF(Ranch_Sale_Year=I$56,-SUM(#REF!,$F80:I80),0)</f>
        <v>0</v>
      </c>
      <c r="J92" s="60">
        <f>IF(Ranch_Sale_Year=J$56,-SUM(#REF!,$F80:J80),0)</f>
        <v>0</v>
      </c>
      <c r="K92" s="60">
        <f>IF(Ranch_Sale_Year=K$56,-SUM(A12,$F80:K80),0)</f>
        <v>0</v>
      </c>
      <c r="L92" s="60">
        <f>IF(Ranch_Sale_Year=L$56,-SUM(B12,$F80:L80),0)</f>
        <v>0</v>
      </c>
      <c r="M92" s="60">
        <f>IF(Ranch_Sale_Year=M$56,-SUM(C12,$F80:M80),0)</f>
        <v>0</v>
      </c>
      <c r="N92" s="60">
        <f>IF(Ranch_Sale_Year=N$56,-SUM(D12,$F80:N80),0)</f>
        <v>0</v>
      </c>
      <c r="O92" s="60">
        <f>IF(Ranch_Sale_Year=O$56,-SUM(E12,$F80:O80),0)</f>
        <v>-1379499.6799999997</v>
      </c>
      <c r="P92" s="60">
        <f>IF(Ranch_Sale_Year=P$56,-SUM(F12,$F80:P80),0)</f>
        <v>0</v>
      </c>
      <c r="Q92" s="42"/>
      <c r="R92" s="42"/>
    </row>
    <row r="93" spans="1:20" s="43" customFormat="1" ht="20.149999999999999" customHeight="1">
      <c r="A93" s="42"/>
      <c r="B93" s="42"/>
      <c r="C93" s="42" t="s">
        <v>69</v>
      </c>
      <c r="D93" s="42"/>
      <c r="E93" s="60"/>
      <c r="F93" s="60">
        <f t="shared" ref="F93:P93" si="21">IF(Ranch_Sale_Year=F$56,-F$87,0)</f>
        <v>0</v>
      </c>
      <c r="G93" s="60">
        <f t="shared" si="21"/>
        <v>0</v>
      </c>
      <c r="H93" s="60">
        <f t="shared" si="21"/>
        <v>0</v>
      </c>
      <c r="I93" s="60">
        <f t="shared" si="21"/>
        <v>0</v>
      </c>
      <c r="J93" s="60">
        <f t="shared" si="21"/>
        <v>0</v>
      </c>
      <c r="K93" s="60">
        <f t="shared" si="21"/>
        <v>0</v>
      </c>
      <c r="L93" s="60">
        <f t="shared" si="21"/>
        <v>0</v>
      </c>
      <c r="M93" s="60">
        <f t="shared" si="21"/>
        <v>0</v>
      </c>
      <c r="N93" s="60">
        <f t="shared" si="21"/>
        <v>0</v>
      </c>
      <c r="O93" s="60">
        <f>IF(Ranch_Sale_Year=O$56,-O$87,0)</f>
        <v>-466266.64803542057</v>
      </c>
      <c r="P93" s="60">
        <f t="shared" si="21"/>
        <v>0</v>
      </c>
      <c r="Q93" s="42"/>
      <c r="R93" s="42"/>
    </row>
    <row r="94" spans="1:20" s="45" customFormat="1" ht="20.149999999999999" customHeight="1">
      <c r="A94" s="44"/>
      <c r="B94" s="44" t="s">
        <v>70</v>
      </c>
      <c r="C94" s="44"/>
      <c r="D94" s="44"/>
      <c r="E94" s="62"/>
      <c r="F94" s="62">
        <f t="shared" ref="F94:N94" si="22">SUM(F90:F93)</f>
        <v>0</v>
      </c>
      <c r="G94" s="62">
        <f t="shared" si="22"/>
        <v>0</v>
      </c>
      <c r="H94" s="62">
        <f t="shared" si="22"/>
        <v>0</v>
      </c>
      <c r="I94" s="62">
        <f t="shared" si="22"/>
        <v>0</v>
      </c>
      <c r="J94" s="62">
        <f t="shared" si="22"/>
        <v>0</v>
      </c>
      <c r="K94" s="62">
        <f t="shared" si="22"/>
        <v>0</v>
      </c>
      <c r="L94" s="62">
        <f t="shared" si="22"/>
        <v>0</v>
      </c>
      <c r="M94" s="62">
        <f t="shared" si="22"/>
        <v>0</v>
      </c>
      <c r="N94" s="62">
        <f t="shared" si="22"/>
        <v>0</v>
      </c>
      <c r="O94" s="62">
        <f>SUM(O90:O93)</f>
        <v>4607048.1673853807</v>
      </c>
      <c r="P94" s="62">
        <f>SUM(P90:P93)</f>
        <v>0</v>
      </c>
      <c r="Q94" s="44"/>
      <c r="R94" s="44"/>
    </row>
    <row r="95" spans="1:20" s="43" customFormat="1" ht="8.15" customHeight="1">
      <c r="A95" s="42"/>
      <c r="B95" s="42"/>
      <c r="C95" s="42"/>
      <c r="D95" s="42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42"/>
      <c r="R95" s="42"/>
    </row>
    <row r="96" spans="1:20" s="45" customFormat="1" ht="20.149999999999999" customHeight="1">
      <c r="A96" s="47"/>
      <c r="B96" s="47" t="s">
        <v>71</v>
      </c>
      <c r="C96" s="47"/>
      <c r="D96" s="47"/>
      <c r="E96" s="63">
        <f>-E15</f>
        <v>-2925000</v>
      </c>
      <c r="F96" s="63">
        <f t="shared" ref="F96:P96" si="23">F63+F94</f>
        <v>0</v>
      </c>
      <c r="G96" s="63">
        <f t="shared" si="23"/>
        <v>355631.33452500001</v>
      </c>
      <c r="H96" s="63">
        <f t="shared" si="23"/>
        <v>92817.255397443892</v>
      </c>
      <c r="I96" s="63">
        <f t="shared" si="23"/>
        <v>280953.42626610241</v>
      </c>
      <c r="J96" s="63">
        <f t="shared" si="23"/>
        <v>133503.99800627446</v>
      </c>
      <c r="K96" s="63">
        <f t="shared" si="23"/>
        <v>328772.785995882</v>
      </c>
      <c r="L96" s="63">
        <f t="shared" si="23"/>
        <v>169600.31430547702</v>
      </c>
      <c r="M96" s="63">
        <f t="shared" si="23"/>
        <v>377610.87516097649</v>
      </c>
      <c r="N96" s="63">
        <f t="shared" si="23"/>
        <v>207836.53488980589</v>
      </c>
      <c r="O96" s="63">
        <f t="shared" si="23"/>
        <v>5036340.5249510463</v>
      </c>
      <c r="P96" s="63">
        <f t="shared" si="23"/>
        <v>720887.18406565778</v>
      </c>
      <c r="Q96" s="44"/>
      <c r="R96" s="44"/>
    </row>
    <row r="97" spans="1:18" ht="8.15" customHeight="1">
      <c r="A97" s="1"/>
      <c r="B97" s="1"/>
      <c r="C97" s="1"/>
      <c r="D97" s="1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1"/>
      <c r="R97" s="1"/>
    </row>
    <row r="98" spans="1:18" ht="20.149999999999999" customHeight="1">
      <c r="A98" s="1" t="s">
        <v>72</v>
      </c>
      <c r="B98" s="1"/>
      <c r="C98" s="1"/>
      <c r="D98" s="1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1"/>
      <c r="R98" s="1"/>
    </row>
    <row r="99" spans="1:18" ht="20.149999999999999" customHeight="1">
      <c r="A99" s="1"/>
      <c r="B99" s="1" t="s">
        <v>73</v>
      </c>
      <c r="C99" s="1"/>
      <c r="D99" s="1"/>
      <c r="E99" s="61">
        <v>0</v>
      </c>
      <c r="F99" s="60">
        <f t="shared" ref="F99:P99" si="24">E102</f>
        <v>0</v>
      </c>
      <c r="G99" s="60">
        <f t="shared" si="24"/>
        <v>-175500</v>
      </c>
      <c r="H99" s="60">
        <f t="shared" si="24"/>
        <v>0</v>
      </c>
      <c r="I99" s="60">
        <f t="shared" si="24"/>
        <v>-82884.925133599958</v>
      </c>
      <c r="J99" s="60">
        <f t="shared" si="24"/>
        <v>0</v>
      </c>
      <c r="K99" s="60">
        <f t="shared" si="24"/>
        <v>-40347.339049985399</v>
      </c>
      <c r="L99" s="60">
        <f t="shared" si="24"/>
        <v>0</v>
      </c>
      <c r="M99" s="60">
        <f t="shared" si="24"/>
        <v>0</v>
      </c>
      <c r="N99" s="60">
        <f t="shared" si="24"/>
        <v>0</v>
      </c>
      <c r="O99" s="60">
        <f t="shared" si="24"/>
        <v>0</v>
      </c>
      <c r="P99" s="60">
        <f t="shared" si="24"/>
        <v>0</v>
      </c>
      <c r="Q99" s="16"/>
      <c r="R99" s="1"/>
    </row>
    <row r="100" spans="1:18" ht="20.149999999999999" customHeight="1">
      <c r="A100" s="1"/>
      <c r="B100" s="1"/>
      <c r="C100" s="1" t="s">
        <v>74</v>
      </c>
      <c r="D100" s="1"/>
      <c r="E100" s="61">
        <v>0</v>
      </c>
      <c r="F100" s="60">
        <f t="shared" ref="F100:P100" si="25">($E$46/365)*(F$57-E$57)*F$104</f>
        <v>-175500</v>
      </c>
      <c r="G100" s="60">
        <f t="shared" si="25"/>
        <v>-175500</v>
      </c>
      <c r="H100" s="60">
        <f t="shared" si="25"/>
        <v>-175702.18053104385</v>
      </c>
      <c r="I100" s="60">
        <f t="shared" si="25"/>
        <v>-175222.11992850003</v>
      </c>
      <c r="J100" s="60">
        <f t="shared" si="25"/>
        <v>-173851.33705625986</v>
      </c>
      <c r="K100" s="60">
        <f t="shared" si="25"/>
        <v>-173851.33705625986</v>
      </c>
      <c r="L100" s="60">
        <f t="shared" si="25"/>
        <v>-167434.36139565668</v>
      </c>
      <c r="M100" s="60">
        <f t="shared" si="25"/>
        <v>-166846.93328829246</v>
      </c>
      <c r="N100" s="60">
        <f t="shared" si="25"/>
        <v>-154201.09677593142</v>
      </c>
      <c r="O100" s="60">
        <f t="shared" si="25"/>
        <v>-150982.97048909895</v>
      </c>
      <c r="P100" s="60">
        <f t="shared" si="25"/>
        <v>0</v>
      </c>
      <c r="Q100" s="16"/>
      <c r="R100" s="1"/>
    </row>
    <row r="101" spans="1:18" ht="20.149999999999999" customHeight="1">
      <c r="A101" s="1"/>
      <c r="B101" s="1"/>
      <c r="C101" s="1" t="s">
        <v>75</v>
      </c>
      <c r="D101" s="1"/>
      <c r="E101" s="60">
        <f>IF(E96&gt;-SUM(E99:E100),-SUM(E99:E100),IF(E96&gt;0,E96+SUM(E99:E100),0))</f>
        <v>0</v>
      </c>
      <c r="F101" s="60">
        <f>IF(F96&gt;-SUM(F99:F100),-SUM(F99:F100),IF(F96&gt;0,F96+SUM(F99:F100),0))</f>
        <v>0</v>
      </c>
      <c r="G101" s="60">
        <f t="shared" ref="G101:P101" si="26">IF(G96&gt;0,IF(G96&gt;-SUM(G99:G100),-SUM(G99:G100),G96),0)</f>
        <v>351000</v>
      </c>
      <c r="H101" s="60">
        <f t="shared" si="26"/>
        <v>92817.255397443892</v>
      </c>
      <c r="I101" s="60">
        <f t="shared" si="26"/>
        <v>258107.04506209999</v>
      </c>
      <c r="J101" s="60">
        <f t="shared" si="26"/>
        <v>133503.99800627446</v>
      </c>
      <c r="K101" s="60">
        <f t="shared" si="26"/>
        <v>214198.67610624526</v>
      </c>
      <c r="L101" s="60">
        <f t="shared" si="26"/>
        <v>167434.36139565668</v>
      </c>
      <c r="M101" s="60">
        <f t="shared" si="26"/>
        <v>166846.93328829246</v>
      </c>
      <c r="N101" s="60">
        <f t="shared" si="26"/>
        <v>154201.09677593142</v>
      </c>
      <c r="O101" s="60">
        <f t="shared" si="26"/>
        <v>150982.97048909895</v>
      </c>
      <c r="P101" s="60">
        <f t="shared" si="26"/>
        <v>0</v>
      </c>
      <c r="Q101" s="16"/>
      <c r="R101" s="1"/>
    </row>
    <row r="102" spans="1:18" ht="20.149999999999999" customHeight="1">
      <c r="A102" s="1"/>
      <c r="B102" s="1" t="s">
        <v>76</v>
      </c>
      <c r="C102" s="1"/>
      <c r="D102" s="1"/>
      <c r="E102" s="61">
        <f t="shared" ref="E102:P102" si="27">SUM(E99:E101)</f>
        <v>0</v>
      </c>
      <c r="F102" s="61">
        <f t="shared" si="27"/>
        <v>-175500</v>
      </c>
      <c r="G102" s="61">
        <f t="shared" si="27"/>
        <v>0</v>
      </c>
      <c r="H102" s="61">
        <f t="shared" si="27"/>
        <v>-82884.925133599958</v>
      </c>
      <c r="I102" s="61">
        <f t="shared" si="27"/>
        <v>0</v>
      </c>
      <c r="J102" s="61">
        <f t="shared" si="27"/>
        <v>-40347.339049985399</v>
      </c>
      <c r="K102" s="61">
        <f t="shared" si="27"/>
        <v>0</v>
      </c>
      <c r="L102" s="61">
        <f t="shared" si="27"/>
        <v>0</v>
      </c>
      <c r="M102" s="61">
        <f t="shared" si="27"/>
        <v>0</v>
      </c>
      <c r="N102" s="61">
        <f t="shared" si="27"/>
        <v>0</v>
      </c>
      <c r="O102" s="61">
        <f t="shared" si="27"/>
        <v>0</v>
      </c>
      <c r="P102" s="61">
        <f t="shared" si="27"/>
        <v>0</v>
      </c>
      <c r="Q102" s="17"/>
      <c r="R102" s="1"/>
    </row>
    <row r="103" spans="1:18" ht="8.15" customHeight="1">
      <c r="A103" s="1"/>
      <c r="B103" s="1"/>
      <c r="C103" s="1"/>
      <c r="D103" s="1"/>
      <c r="E103" s="61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1"/>
      <c r="R103" s="1"/>
    </row>
    <row r="104" spans="1:18" ht="20.149999999999999" customHeight="1">
      <c r="A104" s="1"/>
      <c r="B104" s="1" t="s">
        <v>77</v>
      </c>
      <c r="C104" s="1"/>
      <c r="D104" s="1"/>
      <c r="E104" s="61">
        <v>0</v>
      </c>
      <c r="F104" s="60">
        <f t="shared" ref="F104:N104" si="28">E107</f>
        <v>-2925000</v>
      </c>
      <c r="G104" s="60">
        <f t="shared" si="28"/>
        <v>-2925000</v>
      </c>
      <c r="H104" s="60">
        <f t="shared" si="28"/>
        <v>-2920368.6654750002</v>
      </c>
      <c r="I104" s="60">
        <f t="shared" si="28"/>
        <v>-2920368.6654750002</v>
      </c>
      <c r="J104" s="60">
        <f t="shared" si="28"/>
        <v>-2897522.2842709976</v>
      </c>
      <c r="K104" s="60">
        <f t="shared" si="28"/>
        <v>-2897522.2842709976</v>
      </c>
      <c r="L104" s="60">
        <f t="shared" si="28"/>
        <v>-2782948.1743813609</v>
      </c>
      <c r="M104" s="60">
        <f t="shared" si="28"/>
        <v>-2780782.2214715406</v>
      </c>
      <c r="N104" s="60">
        <f t="shared" si="28"/>
        <v>-2570018.2795988568</v>
      </c>
      <c r="O104" s="60">
        <f>N107</f>
        <v>-2516382.8414849825</v>
      </c>
      <c r="P104" s="60">
        <f t="shared" ref="P104" si="29">O107</f>
        <v>0</v>
      </c>
      <c r="Q104" s="16"/>
      <c r="R104" s="1"/>
    </row>
    <row r="105" spans="1:18" ht="20.149999999999999" customHeight="1">
      <c r="A105" s="1"/>
      <c r="B105" s="1"/>
      <c r="C105" s="1" t="s">
        <v>78</v>
      </c>
      <c r="D105" s="1"/>
      <c r="E105" s="61">
        <f>-$E$15</f>
        <v>-2925000</v>
      </c>
      <c r="F105" s="61">
        <v>0</v>
      </c>
      <c r="G105" s="61">
        <v>0</v>
      </c>
      <c r="H105" s="61">
        <v>0</v>
      </c>
      <c r="I105" s="61">
        <v>0</v>
      </c>
      <c r="J105" s="61">
        <v>0</v>
      </c>
      <c r="K105" s="61">
        <v>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17"/>
      <c r="R105" s="1"/>
    </row>
    <row r="106" spans="1:18" ht="20.149999999999999" customHeight="1">
      <c r="A106" s="1"/>
      <c r="B106" s="1"/>
      <c r="C106" s="1" t="s">
        <v>79</v>
      </c>
      <c r="D106" s="1"/>
      <c r="E106" s="61">
        <v>0</v>
      </c>
      <c r="F106" s="61">
        <f t="shared" ref="F106:P106" si="30">IF(F96&gt;-F104,-F104,F96-F101)</f>
        <v>0</v>
      </c>
      <c r="G106" s="61">
        <f t="shared" si="30"/>
        <v>4631.3345250000129</v>
      </c>
      <c r="H106" s="61">
        <f t="shared" si="30"/>
        <v>0</v>
      </c>
      <c r="I106" s="61">
        <f t="shared" si="30"/>
        <v>22846.38120400242</v>
      </c>
      <c r="J106" s="61">
        <f t="shared" si="30"/>
        <v>0</v>
      </c>
      <c r="K106" s="61">
        <f t="shared" si="30"/>
        <v>114574.10988963675</v>
      </c>
      <c r="L106" s="61">
        <f t="shared" si="30"/>
        <v>2165.9529098203348</v>
      </c>
      <c r="M106" s="61">
        <f t="shared" si="30"/>
        <v>210763.94187268402</v>
      </c>
      <c r="N106" s="61">
        <f t="shared" si="30"/>
        <v>53635.438113874465</v>
      </c>
      <c r="O106" s="61">
        <f t="shared" si="30"/>
        <v>2516382.8414849825</v>
      </c>
      <c r="P106" s="61">
        <f t="shared" si="30"/>
        <v>0</v>
      </c>
      <c r="Q106" s="17"/>
      <c r="R106" s="1"/>
    </row>
    <row r="107" spans="1:18" ht="20.149999999999999" customHeight="1">
      <c r="A107" s="1"/>
      <c r="B107" s="1" t="s">
        <v>80</v>
      </c>
      <c r="C107" s="1"/>
      <c r="D107" s="1"/>
      <c r="E107" s="61">
        <f>SUM(E104:E106)</f>
        <v>-2925000</v>
      </c>
      <c r="F107" s="61">
        <f t="shared" ref="F107:N107" si="31">SUM(F104:F106)</f>
        <v>-2925000</v>
      </c>
      <c r="G107" s="61">
        <f t="shared" si="31"/>
        <v>-2920368.6654750002</v>
      </c>
      <c r="H107" s="61">
        <f t="shared" si="31"/>
        <v>-2920368.6654750002</v>
      </c>
      <c r="I107" s="61">
        <f t="shared" si="31"/>
        <v>-2897522.2842709976</v>
      </c>
      <c r="J107" s="61">
        <f t="shared" si="31"/>
        <v>-2897522.2842709976</v>
      </c>
      <c r="K107" s="61">
        <f t="shared" si="31"/>
        <v>-2782948.1743813609</v>
      </c>
      <c r="L107" s="61">
        <f t="shared" si="31"/>
        <v>-2780782.2214715406</v>
      </c>
      <c r="M107" s="61">
        <f t="shared" si="31"/>
        <v>-2570018.2795988568</v>
      </c>
      <c r="N107" s="61">
        <f t="shared" si="31"/>
        <v>-2516382.8414849825</v>
      </c>
      <c r="O107" s="61">
        <f>SUM(O104:O106)</f>
        <v>0</v>
      </c>
      <c r="P107" s="61">
        <f t="shared" ref="P107" si="32">SUM(P104:P106)</f>
        <v>0</v>
      </c>
      <c r="Q107" s="17"/>
      <c r="R107" s="1"/>
    </row>
    <row r="108" spans="1:18" ht="8.15" customHeight="1">
      <c r="A108" s="1"/>
      <c r="B108" s="1"/>
      <c r="C108" s="1"/>
      <c r="D108" s="1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1"/>
      <c r="R108" s="1"/>
    </row>
    <row r="109" spans="1:18" s="8" customFormat="1" ht="20.149999999999999" customHeight="1">
      <c r="A109" s="3"/>
      <c r="B109" s="3" t="s">
        <v>31</v>
      </c>
      <c r="C109" s="3"/>
      <c r="D109" s="3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3"/>
      <c r="R109" s="3"/>
    </row>
    <row r="110" spans="1:18" ht="20.149999999999999" customHeight="1">
      <c r="A110" s="1"/>
      <c r="B110" s="1"/>
      <c r="C110" s="1" t="s">
        <v>81</v>
      </c>
      <c r="D110" s="1"/>
      <c r="E110" s="60">
        <f t="shared" ref="E110:P110" si="33">IF((E$96-E$101-E$106)&gt;0,(E$96-E$101-E$106)*$E$47,0)</f>
        <v>0</v>
      </c>
      <c r="F110" s="60">
        <f t="shared" si="33"/>
        <v>0</v>
      </c>
      <c r="G110" s="60">
        <f t="shared" si="33"/>
        <v>0</v>
      </c>
      <c r="H110" s="60">
        <f t="shared" si="33"/>
        <v>0</v>
      </c>
      <c r="I110" s="60">
        <f t="shared" si="33"/>
        <v>0</v>
      </c>
      <c r="J110" s="60">
        <f t="shared" si="33"/>
        <v>0</v>
      </c>
      <c r="K110" s="60">
        <f t="shared" si="33"/>
        <v>0</v>
      </c>
      <c r="L110" s="60">
        <f t="shared" si="33"/>
        <v>0</v>
      </c>
      <c r="M110" s="60">
        <f t="shared" si="33"/>
        <v>0</v>
      </c>
      <c r="N110" s="60">
        <f t="shared" si="33"/>
        <v>0</v>
      </c>
      <c r="O110" s="60">
        <f t="shared" si="33"/>
        <v>473794.94259539305</v>
      </c>
      <c r="P110" s="60">
        <f t="shared" si="33"/>
        <v>144177.43681313156</v>
      </c>
      <c r="Q110" s="16"/>
      <c r="R110" s="1"/>
    </row>
    <row r="111" spans="1:18" ht="20.149999999999999" customHeight="1">
      <c r="A111" s="1"/>
      <c r="B111" s="1"/>
      <c r="C111" s="1" t="s">
        <v>82</v>
      </c>
      <c r="D111" s="1"/>
      <c r="E111" s="60">
        <f t="shared" ref="E111:P111" si="34">IF((E$96-E$101-E$106)&gt;0,(E$96-E$101-E$106)*(1-$E$47),0)</f>
        <v>0</v>
      </c>
      <c r="F111" s="60">
        <f t="shared" si="34"/>
        <v>0</v>
      </c>
      <c r="G111" s="60">
        <f t="shared" si="34"/>
        <v>0</v>
      </c>
      <c r="H111" s="60">
        <f t="shared" si="34"/>
        <v>0</v>
      </c>
      <c r="I111" s="60">
        <f t="shared" si="34"/>
        <v>0</v>
      </c>
      <c r="J111" s="60">
        <f t="shared" si="34"/>
        <v>0</v>
      </c>
      <c r="K111" s="60">
        <f t="shared" si="34"/>
        <v>0</v>
      </c>
      <c r="L111" s="60">
        <f t="shared" si="34"/>
        <v>0</v>
      </c>
      <c r="M111" s="60">
        <f t="shared" si="34"/>
        <v>0</v>
      </c>
      <c r="N111" s="60">
        <f t="shared" si="34"/>
        <v>0</v>
      </c>
      <c r="O111" s="60">
        <f t="shared" si="34"/>
        <v>1895179.7703815722</v>
      </c>
      <c r="P111" s="60">
        <f t="shared" si="34"/>
        <v>576709.74725252623</v>
      </c>
      <c r="Q111" s="16"/>
      <c r="R111" s="1"/>
    </row>
    <row r="112" spans="1:18" ht="8.15" customHeight="1">
      <c r="A112" s="1"/>
      <c r="B112" s="1"/>
      <c r="C112" s="1"/>
      <c r="D112" s="1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1"/>
      <c r="R112" s="1"/>
    </row>
    <row r="113" spans="1:18" s="8" customFormat="1" ht="20.149999999999999" customHeight="1">
      <c r="A113" s="3"/>
      <c r="B113" s="3" t="s">
        <v>83</v>
      </c>
      <c r="C113" s="3"/>
      <c r="D113" s="3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21"/>
      <c r="R113" s="3"/>
    </row>
    <row r="114" spans="1:18" s="50" customFormat="1" ht="20.149999999999999" customHeight="1">
      <c r="A114" s="48"/>
      <c r="B114" s="48"/>
      <c r="C114" s="48" t="s">
        <v>81</v>
      </c>
      <c r="D114" s="48"/>
      <c r="E114" s="64">
        <f t="shared" ref="E114:P114" si="35">E110</f>
        <v>0</v>
      </c>
      <c r="F114" s="64">
        <f t="shared" si="35"/>
        <v>0</v>
      </c>
      <c r="G114" s="64">
        <f t="shared" si="35"/>
        <v>0</v>
      </c>
      <c r="H114" s="64">
        <f t="shared" si="35"/>
        <v>0</v>
      </c>
      <c r="I114" s="64">
        <f t="shared" si="35"/>
        <v>0</v>
      </c>
      <c r="J114" s="64">
        <f t="shared" si="35"/>
        <v>0</v>
      </c>
      <c r="K114" s="64">
        <f t="shared" si="35"/>
        <v>0</v>
      </c>
      <c r="L114" s="64">
        <f t="shared" si="35"/>
        <v>0</v>
      </c>
      <c r="M114" s="64">
        <f t="shared" si="35"/>
        <v>0</v>
      </c>
      <c r="N114" s="64">
        <f t="shared" si="35"/>
        <v>0</v>
      </c>
      <c r="O114" s="64">
        <f t="shared" si="35"/>
        <v>473794.94259539305</v>
      </c>
      <c r="P114" s="64">
        <f t="shared" si="35"/>
        <v>144177.43681313156</v>
      </c>
      <c r="Q114" s="49"/>
      <c r="R114" s="48"/>
    </row>
    <row r="115" spans="1:18" s="50" customFormat="1" ht="20.149999999999999" customHeight="1">
      <c r="A115" s="48"/>
      <c r="B115" s="48"/>
      <c r="C115" s="48" t="s">
        <v>82</v>
      </c>
      <c r="D115" s="48"/>
      <c r="E115" s="64">
        <f>E101+E105+E106+E111</f>
        <v>-2925000</v>
      </c>
      <c r="F115" s="64">
        <f t="shared" ref="F115:N115" si="36">F101+F105+F106+F111</f>
        <v>0</v>
      </c>
      <c r="G115" s="64">
        <f t="shared" si="36"/>
        <v>355631.33452500001</v>
      </c>
      <c r="H115" s="64">
        <f t="shared" si="36"/>
        <v>92817.255397443892</v>
      </c>
      <c r="I115" s="64">
        <f t="shared" si="36"/>
        <v>280953.42626610241</v>
      </c>
      <c r="J115" s="64">
        <f t="shared" si="36"/>
        <v>133503.99800627446</v>
      </c>
      <c r="K115" s="64">
        <f t="shared" si="36"/>
        <v>328772.785995882</v>
      </c>
      <c r="L115" s="64">
        <f t="shared" si="36"/>
        <v>169600.31430547702</v>
      </c>
      <c r="M115" s="64">
        <f t="shared" si="36"/>
        <v>377610.87516097649</v>
      </c>
      <c r="N115" s="64">
        <f t="shared" si="36"/>
        <v>207836.53488980589</v>
      </c>
      <c r="O115" s="64">
        <f>O101+O105+O106+O111</f>
        <v>4562545.5823556539</v>
      </c>
      <c r="P115" s="64">
        <f>P101+P105+P106+P111</f>
        <v>576709.74725252623</v>
      </c>
      <c r="Q115" s="49"/>
      <c r="R115" s="48"/>
    </row>
    <row r="116" spans="1:18" ht="8.15" customHeight="1">
      <c r="A116" s="1"/>
      <c r="B116" s="1"/>
      <c r="C116" s="1"/>
      <c r="D116" s="1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1"/>
      <c r="R116" s="1"/>
    </row>
    <row r="117" spans="1:18" s="44" customFormat="1" ht="20.149999999999999" customHeight="1">
      <c r="A117" s="47"/>
      <c r="B117" s="47" t="s">
        <v>85</v>
      </c>
      <c r="C117" s="47"/>
      <c r="D117" s="47"/>
      <c r="E117" s="47"/>
      <c r="F117" s="51">
        <f>IF(F104&gt;=0,"NA",IF(F56=Ranch_Sale_Year,"NA",F96/-F104))</f>
        <v>0</v>
      </c>
      <c r="G117" s="51">
        <f t="shared" ref="G117:P117" si="37">IF(G104&gt;=0,"NA",IF(G56=Ranch_Sale_Year,"NA",G115/-G104))</f>
        <v>0.12158336223076924</v>
      </c>
      <c r="H117" s="51">
        <f t="shared" si="37"/>
        <v>3.1782718563838276E-2</v>
      </c>
      <c r="I117" s="51">
        <f t="shared" si="37"/>
        <v>9.620478044007677E-2</v>
      </c>
      <c r="J117" s="51">
        <f t="shared" si="37"/>
        <v>4.6075227352345767E-2</v>
      </c>
      <c r="K117" s="51">
        <f t="shared" si="37"/>
        <v>0.11346687056751995</v>
      </c>
      <c r="L117" s="51">
        <f t="shared" si="37"/>
        <v>6.0942677936565798E-2</v>
      </c>
      <c r="M117" s="51">
        <f t="shared" si="37"/>
        <v>0.1357930413411344</v>
      </c>
      <c r="N117" s="51">
        <f t="shared" si="37"/>
        <v>8.086967183838327E-2</v>
      </c>
      <c r="O117" s="51" t="str">
        <f t="shared" si="37"/>
        <v>NA</v>
      </c>
      <c r="P117" s="51" t="str">
        <f t="shared" si="37"/>
        <v>NA</v>
      </c>
    </row>
    <row r="120" spans="1:18">
      <c r="B120" t="s">
        <v>86</v>
      </c>
      <c r="F120" s="54">
        <f>+F63/-$E$96</f>
        <v>0</v>
      </c>
      <c r="G120" s="54">
        <f t="shared" ref="G120:P120" si="38">+G63/-$E$96</f>
        <v>0.12158336223076924</v>
      </c>
      <c r="H120" s="54">
        <f t="shared" si="38"/>
        <v>3.1732395007673123E-2</v>
      </c>
      <c r="I120" s="54">
        <f t="shared" si="38"/>
        <v>9.6052453424308515E-2</v>
      </c>
      <c r="J120" s="54">
        <f t="shared" si="38"/>
        <v>4.5642392480777595E-2</v>
      </c>
      <c r="K120" s="54">
        <f t="shared" si="38"/>
        <v>0.11240095247722462</v>
      </c>
      <c r="L120" s="54">
        <f t="shared" si="38"/>
        <v>5.7983013437769924E-2</v>
      </c>
      <c r="M120" s="54">
        <f t="shared" si="38"/>
        <v>0.12909773509776973</v>
      </c>
      <c r="N120" s="54">
        <f t="shared" si="38"/>
        <v>7.1055225603352437E-2</v>
      </c>
      <c r="O120" s="54">
        <f t="shared" si="38"/>
        <v>0.14676661797116766</v>
      </c>
      <c r="P120" s="54">
        <f>+P115/-$E$96</f>
        <v>0.19716572555641923</v>
      </c>
    </row>
  </sheetData>
  <conditionalFormatting sqref="A59:A61">
    <cfRule type="containsText" dxfId="19" priority="20" operator="containsText" text="BAD">
      <formula>NOT(ISERROR(SEARCH("BAD",A59)))</formula>
    </cfRule>
    <cfRule type="containsText" dxfId="18" priority="25" operator="containsText" text="Good">
      <formula>NOT(ISERROR(SEARCH("Good",A59)))</formula>
    </cfRule>
  </conditionalFormatting>
  <conditionalFormatting sqref="A60">
    <cfRule type="containsText" dxfId="17" priority="22" operator="containsText" text="Good">
      <formula>NOT(ISERROR(SEARCH("Good",A60)))</formula>
    </cfRule>
  </conditionalFormatting>
  <conditionalFormatting sqref="A61">
    <cfRule type="containsText" dxfId="16" priority="21" operator="containsText" text="Good">
      <formula>NOT(ISERROR(SEARCH("Good",A61)))</formula>
    </cfRule>
  </conditionalFormatting>
  <conditionalFormatting sqref="A68:A70">
    <cfRule type="containsText" dxfId="15" priority="16" operator="containsText" text="BAD">
      <formula>NOT(ISERROR(SEARCH("BAD",A68)))</formula>
    </cfRule>
    <cfRule type="containsText" dxfId="14" priority="19" operator="containsText" text="Good">
      <formula>NOT(ISERROR(SEARCH("Good",A68)))</formula>
    </cfRule>
  </conditionalFormatting>
  <conditionalFormatting sqref="A69">
    <cfRule type="containsText" dxfId="13" priority="18" operator="containsText" text="Good">
      <formula>NOT(ISERROR(SEARCH("Good",A69)))</formula>
    </cfRule>
  </conditionalFormatting>
  <conditionalFormatting sqref="A70">
    <cfRule type="containsText" dxfId="12" priority="17" operator="containsText" text="Good">
      <formula>NOT(ISERROR(SEARCH("Good",A70)))</formula>
    </cfRule>
  </conditionalFormatting>
  <conditionalFormatting sqref="A72">
    <cfRule type="containsText" dxfId="11" priority="13" operator="containsText" text="BAD">
      <formula>NOT(ISERROR(SEARCH("BAD",A72)))</formula>
    </cfRule>
    <cfRule type="containsText" dxfId="10" priority="15" operator="containsText" text="Good">
      <formula>NOT(ISERROR(SEARCH("Good",A72)))</formula>
    </cfRule>
  </conditionalFormatting>
  <conditionalFormatting sqref="A72">
    <cfRule type="containsText" dxfId="9" priority="14" operator="containsText" text="Good">
      <formula>NOT(ISERROR(SEARCH("Good",A72)))</formula>
    </cfRule>
  </conditionalFormatting>
  <conditionalFormatting sqref="A74">
    <cfRule type="containsText" dxfId="8" priority="10" operator="containsText" text="BAD">
      <formula>NOT(ISERROR(SEARCH("BAD",A74)))</formula>
    </cfRule>
    <cfRule type="containsText" dxfId="7" priority="12" operator="containsText" text="Good">
      <formula>NOT(ISERROR(SEARCH("Good",A74)))</formula>
    </cfRule>
  </conditionalFormatting>
  <conditionalFormatting sqref="A74">
    <cfRule type="containsText" dxfId="6" priority="11" operator="containsText" text="Good">
      <formula>NOT(ISERROR(SEARCH("Good",A74)))</formula>
    </cfRule>
  </conditionalFormatting>
  <conditionalFormatting sqref="A75">
    <cfRule type="containsText" dxfId="5" priority="7" operator="containsText" text="BAD">
      <formula>NOT(ISERROR(SEARCH("BAD",A75)))</formula>
    </cfRule>
    <cfRule type="containsText" dxfId="4" priority="9" operator="containsText" text="Good">
      <formula>NOT(ISERROR(SEARCH("Good",A75)))</formula>
    </cfRule>
  </conditionalFormatting>
  <conditionalFormatting sqref="A75">
    <cfRule type="containsText" dxfId="3" priority="8" operator="containsText" text="Good">
      <formula>NOT(ISERROR(SEARCH("Good",A75)))</formula>
    </cfRule>
  </conditionalFormatting>
  <conditionalFormatting sqref="A76">
    <cfRule type="containsText" dxfId="2" priority="4" operator="containsText" text="BAD">
      <formula>NOT(ISERROR(SEARCH("BAD",A76)))</formula>
    </cfRule>
    <cfRule type="containsText" dxfId="1" priority="6" operator="containsText" text="Good">
      <formula>NOT(ISERROR(SEARCH("Good",A76)))</formula>
    </cfRule>
  </conditionalFormatting>
  <conditionalFormatting sqref="A76">
    <cfRule type="containsText" dxfId="0" priority="5" operator="containsText" text="Good">
      <formula>NOT(ISERROR(SEARCH("Good",A76)))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Cultural_Cost_Adjustment</vt:lpstr>
      <vt:lpstr>Cultural_Cost_Inflation</vt:lpstr>
      <vt:lpstr>Harvest_Cost_Inflation</vt:lpstr>
      <vt:lpstr>Ranch_Sale_Year</vt:lpstr>
      <vt:lpstr>Sales_Expenses</vt:lpstr>
      <vt:lpstr>Water_Cost_Adjustment</vt:lpstr>
      <vt:lpstr>Water_Cost_Inflation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drewl</cp:lastModifiedBy>
  <dcterms:created xsi:type="dcterms:W3CDTF">2021-12-16T22:55:33Z</dcterms:created>
  <dcterms:modified xsi:type="dcterms:W3CDTF">2021-12-22T15:15:32Z</dcterms:modified>
</cp:coreProperties>
</file>