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.shortcut-targets-by-id\1WMoak8a4vR4gKv790o8LiYVPJIwE0flx\Farm Team\2021 Farms and Research\!Sponsor - Australia Avocado Group LLC\Financial Modeling\"/>
    </mc:Choice>
  </mc:AlternateContent>
  <xr:revisionPtr revIDLastSave="0" documentId="8_{92EFE482-D711-4529-AD2E-49CC18B1E623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ummary" sheetId="10" r:id="rId1"/>
    <sheet name="USD Summary with Tax" sheetId="11" r:id="rId2"/>
    <sheet name="AUD Operating Cashflow" sheetId="6" r:id="rId3"/>
    <sheet name="Current Plantings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2" i="10" l="1"/>
  <c r="F31" i="10"/>
  <c r="B8" i="9"/>
  <c r="B29" i="6" l="1"/>
  <c r="C8" i="11" l="1"/>
  <c r="E23" i="10"/>
  <c r="E19" i="6" l="1"/>
  <c r="B95" i="9" l="1"/>
  <c r="E44" i="6"/>
  <c r="B83" i="9" l="1"/>
  <c r="E11" i="6" l="1"/>
  <c r="F21" i="10"/>
  <c r="F23" i="10" s="1"/>
  <c r="B26" i="6"/>
  <c r="B22" i="6"/>
  <c r="B23" i="6"/>
  <c r="G16" i="6"/>
  <c r="H16" i="6" s="1"/>
  <c r="I16" i="6" s="1"/>
  <c r="J16" i="6" s="1"/>
  <c r="K16" i="6" s="1"/>
  <c r="L16" i="6" s="1"/>
  <c r="M16" i="6" s="1"/>
  <c r="N16" i="6" s="1"/>
  <c r="O16" i="6" s="1"/>
  <c r="P16" i="6" s="1"/>
  <c r="F11" i="6"/>
  <c r="G11" i="6"/>
  <c r="H11" i="6"/>
  <c r="E12" i="6"/>
  <c r="F12" i="6"/>
  <c r="G12" i="6"/>
  <c r="H12" i="6"/>
  <c r="H10" i="6"/>
  <c r="G10" i="6"/>
  <c r="F10" i="6"/>
  <c r="E10" i="6"/>
  <c r="B19" i="6"/>
  <c r="D6" i="11"/>
  <c r="D5" i="11"/>
  <c r="F5" i="6"/>
  <c r="G5" i="6" s="1"/>
  <c r="H5" i="6" s="1"/>
  <c r="I5" i="6" s="1"/>
  <c r="J5" i="6" s="1"/>
  <c r="K5" i="6" s="1"/>
  <c r="L5" i="6" s="1"/>
  <c r="M5" i="6" s="1"/>
  <c r="N5" i="6" s="1"/>
  <c r="O5" i="6" s="1"/>
  <c r="P5" i="6" s="1"/>
  <c r="E5" i="11" l="1"/>
  <c r="D12" i="11"/>
  <c r="E6" i="11"/>
  <c r="D8" i="11"/>
  <c r="E28" i="6"/>
  <c r="F28" i="6" s="1"/>
  <c r="G28" i="6" s="1"/>
  <c r="H28" i="6" s="1"/>
  <c r="I28" i="6" s="1"/>
  <c r="J28" i="6" s="1"/>
  <c r="K28" i="6" s="1"/>
  <c r="L28" i="6" s="1"/>
  <c r="M28" i="6" s="1"/>
  <c r="N28" i="6" s="1"/>
  <c r="O28" i="6" s="1"/>
  <c r="P28" i="6" s="1"/>
  <c r="F27" i="10"/>
  <c r="K17" i="6"/>
  <c r="J17" i="6" s="1"/>
  <c r="F5" i="11" l="1"/>
  <c r="E12" i="11"/>
  <c r="F6" i="11"/>
  <c r="E8" i="11"/>
  <c r="F23" i="6"/>
  <c r="G5" i="11" l="1"/>
  <c r="F12" i="11"/>
  <c r="G6" i="11"/>
  <c r="F8" i="11"/>
  <c r="E42" i="6"/>
  <c r="F19" i="6" s="1"/>
  <c r="G19" i="6" s="1"/>
  <c r="H19" i="6" s="1"/>
  <c r="I19" i="6" s="1"/>
  <c r="J19" i="6" s="1"/>
  <c r="K19" i="6" s="1"/>
  <c r="L19" i="6" s="1"/>
  <c r="M19" i="6" s="1"/>
  <c r="N19" i="6" s="1"/>
  <c r="O19" i="6" s="1"/>
  <c r="P19" i="6" s="1"/>
  <c r="H5" i="11" l="1"/>
  <c r="G12" i="11"/>
  <c r="H6" i="11"/>
  <c r="G8" i="11"/>
  <c r="H87" i="9"/>
  <c r="G87" i="9"/>
  <c r="I5" i="11" l="1"/>
  <c r="H12" i="11"/>
  <c r="I6" i="11"/>
  <c r="H8" i="11"/>
  <c r="E21" i="6"/>
  <c r="F21" i="6" s="1"/>
  <c r="G21" i="6" s="1"/>
  <c r="H21" i="6" s="1"/>
  <c r="I21" i="6" s="1"/>
  <c r="J21" i="6" s="1"/>
  <c r="K21" i="6" s="1"/>
  <c r="L21" i="6" s="1"/>
  <c r="M21" i="6" s="1"/>
  <c r="N21" i="6" s="1"/>
  <c r="O21" i="6" s="1"/>
  <c r="P21" i="6" s="1"/>
  <c r="C14" i="9"/>
  <c r="G15" i="11"/>
  <c r="E21" i="10"/>
  <c r="C12" i="11"/>
  <c r="M25" i="11"/>
  <c r="L25" i="11"/>
  <c r="K25" i="11"/>
  <c r="J25" i="11"/>
  <c r="I25" i="11"/>
  <c r="H25" i="11"/>
  <c r="G25" i="11"/>
  <c r="F25" i="11"/>
  <c r="E25" i="11"/>
  <c r="D25" i="11"/>
  <c r="F38" i="10"/>
  <c r="F37" i="10"/>
  <c r="J5" i="11" l="1"/>
  <c r="I12" i="11"/>
  <c r="J6" i="11"/>
  <c r="I8" i="1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E22" i="6"/>
  <c r="F22" i="6" s="1"/>
  <c r="G22" i="6" s="1"/>
  <c r="H22" i="6" s="1"/>
  <c r="I22" i="6" s="1"/>
  <c r="J22" i="6" s="1"/>
  <c r="K22" i="6" s="1"/>
  <c r="L22" i="6" s="1"/>
  <c r="M22" i="6" s="1"/>
  <c r="N22" i="6" s="1"/>
  <c r="O22" i="6" s="1"/>
  <c r="P22" i="6" s="1"/>
  <c r="F22" i="10"/>
  <c r="E22" i="10" s="1"/>
  <c r="K5" i="11" l="1"/>
  <c r="J12" i="11"/>
  <c r="K6" i="11"/>
  <c r="J8" i="11"/>
  <c r="L5" i="11" l="1"/>
  <c r="L12" i="11" s="1"/>
  <c r="K12" i="11"/>
  <c r="L6" i="11"/>
  <c r="L8" i="11" s="1"/>
  <c r="C29" i="11" s="1"/>
  <c r="C30" i="11" s="1"/>
  <c r="C32" i="11" s="1"/>
  <c r="K8" i="11"/>
  <c r="D88" i="9"/>
  <c r="D87" i="9"/>
  <c r="D86" i="9" l="1"/>
  <c r="D85" i="9"/>
  <c r="B98" i="9"/>
  <c r="E48" i="9"/>
  <c r="E51" i="9"/>
  <c r="E52" i="9"/>
  <c r="E47" i="9"/>
  <c r="E33" i="9"/>
  <c r="E35" i="9"/>
  <c r="E36" i="9"/>
  <c r="E37" i="9"/>
  <c r="E38" i="9"/>
  <c r="E39" i="9"/>
  <c r="E21" i="9"/>
  <c r="E22" i="9"/>
  <c r="E23" i="9"/>
  <c r="E24" i="9"/>
  <c r="E20" i="9"/>
  <c r="C75" i="9"/>
  <c r="D75" i="9"/>
  <c r="C76" i="9"/>
  <c r="D76" i="9"/>
  <c r="C77" i="9"/>
  <c r="D77" i="9"/>
  <c r="C78" i="9"/>
  <c r="D78" i="9"/>
  <c r="C79" i="9"/>
  <c r="D79" i="9"/>
  <c r="C80" i="9"/>
  <c r="D80" i="9"/>
  <c r="C81" i="9"/>
  <c r="D81" i="9"/>
  <c r="B80" i="9"/>
  <c r="B79" i="9"/>
  <c r="B77" i="9"/>
  <c r="B76" i="9"/>
  <c r="C73" i="9"/>
  <c r="D73" i="9"/>
  <c r="C72" i="9"/>
  <c r="D72" i="9"/>
  <c r="B72" i="9"/>
  <c r="D71" i="9"/>
  <c r="B71" i="9"/>
  <c r="C32" i="9"/>
  <c r="C71" i="9" s="1"/>
  <c r="B63" i="9"/>
  <c r="B75" i="9" s="1"/>
  <c r="B62" i="9"/>
  <c r="D64" i="9"/>
  <c r="C64" i="9"/>
  <c r="C8" i="9"/>
  <c r="C11" i="9" s="1"/>
  <c r="D8" i="9"/>
  <c r="B50" i="9"/>
  <c r="B49" i="9"/>
  <c r="B73" i="9" s="1"/>
  <c r="D50" i="9"/>
  <c r="D55" i="9" s="1"/>
  <c r="B54" i="9"/>
  <c r="B81" i="9" s="1"/>
  <c r="B53" i="9"/>
  <c r="B78" i="9" s="1"/>
  <c r="E78" i="9" s="1"/>
  <c r="G78" i="9" s="1"/>
  <c r="C55" i="9"/>
  <c r="F6" i="9"/>
  <c r="E6" i="9"/>
  <c r="C34" i="9"/>
  <c r="C74" i="9" s="1"/>
  <c r="B34" i="9"/>
  <c r="B40" i="9" s="1"/>
  <c r="E5" i="9"/>
  <c r="D40" i="9"/>
  <c r="F4" i="9"/>
  <c r="E4" i="9"/>
  <c r="C25" i="9"/>
  <c r="D25" i="9"/>
  <c r="B25" i="9"/>
  <c r="E53" i="9" l="1"/>
  <c r="E76" i="9"/>
  <c r="B87" i="9" s="1"/>
  <c r="D74" i="9"/>
  <c r="D82" i="9" s="1"/>
  <c r="E54" i="9"/>
  <c r="E79" i="9"/>
  <c r="G79" i="9" s="1"/>
  <c r="E81" i="9"/>
  <c r="G81" i="9" s="1"/>
  <c r="C88" i="9" s="1"/>
  <c r="E73" i="9"/>
  <c r="G73" i="9" s="1"/>
  <c r="B74" i="9"/>
  <c r="C82" i="9"/>
  <c r="E80" i="9"/>
  <c r="G80" i="9" s="1"/>
  <c r="E34" i="9"/>
  <c r="E62" i="9"/>
  <c r="E75" i="9"/>
  <c r="G75" i="9" s="1"/>
  <c r="E71" i="9"/>
  <c r="G71" i="9" s="1"/>
  <c r="E77" i="9"/>
  <c r="G77" i="9" s="1"/>
  <c r="E63" i="9"/>
  <c r="E25" i="9"/>
  <c r="E50" i="9"/>
  <c r="E72" i="9"/>
  <c r="G72" i="9" s="1"/>
  <c r="E32" i="9"/>
  <c r="E49" i="9"/>
  <c r="F8" i="9"/>
  <c r="C13" i="9" s="1"/>
  <c r="B64" i="9"/>
  <c r="E8" i="9"/>
  <c r="E9" i="9" s="1"/>
  <c r="C12" i="9" s="1"/>
  <c r="B55" i="9"/>
  <c r="C40" i="9"/>
  <c r="G76" i="9" l="1"/>
  <c r="C87" i="9" s="1"/>
  <c r="B96" i="9" s="1"/>
  <c r="F87" i="9" s="1"/>
  <c r="B97" i="9"/>
  <c r="F88" i="9" s="1"/>
  <c r="B88" i="9"/>
  <c r="E74" i="9"/>
  <c r="G74" i="9" s="1"/>
  <c r="H85" i="9" s="1"/>
  <c r="C85" i="9"/>
  <c r="E64" i="9"/>
  <c r="B82" i="9"/>
  <c r="E55" i="9"/>
  <c r="E40" i="9"/>
  <c r="B85" i="9"/>
  <c r="B99" i="9" l="1"/>
  <c r="F86" i="9" s="1"/>
  <c r="E82" i="9"/>
  <c r="B86" i="9"/>
  <c r="G82" i="9"/>
  <c r="F82" i="9" s="1"/>
  <c r="E27" i="6"/>
  <c r="F85" i="9"/>
  <c r="B89" i="9"/>
  <c r="C86" i="9"/>
  <c r="E86" i="9" l="1"/>
  <c r="E89" i="9" s="1"/>
  <c r="C89" i="9"/>
  <c r="H86" i="9"/>
  <c r="F27" i="6"/>
  <c r="H27" i="6" s="1"/>
  <c r="I27" i="6" s="1"/>
  <c r="J27" i="6" s="1"/>
  <c r="K27" i="6" s="1"/>
  <c r="L27" i="6" s="1"/>
  <c r="M27" i="6" s="1"/>
  <c r="N27" i="6" s="1"/>
  <c r="O27" i="6" s="1"/>
  <c r="P27" i="6" s="1"/>
  <c r="F89" i="9"/>
  <c r="J10" i="6" l="1"/>
  <c r="K10" i="6" s="1"/>
  <c r="L10" i="6" s="1"/>
  <c r="M10" i="6" s="1"/>
  <c r="N10" i="6" s="1"/>
  <c r="O10" i="6" s="1"/>
  <c r="P10" i="6" s="1"/>
  <c r="J11" i="6"/>
  <c r="K11" i="6" s="1"/>
  <c r="L11" i="6" s="1"/>
  <c r="M11" i="6" s="1"/>
  <c r="N11" i="6" s="1"/>
  <c r="O11" i="6" s="1"/>
  <c r="P11" i="6" s="1"/>
  <c r="J12" i="6"/>
  <c r="K12" i="6" s="1"/>
  <c r="L12" i="6" s="1"/>
  <c r="M12" i="6" s="1"/>
  <c r="N12" i="6" s="1"/>
  <c r="O12" i="6" s="1"/>
  <c r="P12" i="6" s="1"/>
  <c r="F7" i="6"/>
  <c r="G7" i="6" s="1"/>
  <c r="H7" i="6" s="1"/>
  <c r="I7" i="6" s="1"/>
  <c r="J7" i="6" s="1"/>
  <c r="K7" i="6" s="1"/>
  <c r="L7" i="6" s="1"/>
  <c r="M7" i="6" s="1"/>
  <c r="N7" i="6" s="1"/>
  <c r="O7" i="6" s="1"/>
  <c r="P7" i="6" s="1"/>
  <c r="F15" i="11" l="1"/>
  <c r="C15" i="11"/>
  <c r="E15" i="11"/>
  <c r="D15" i="11"/>
  <c r="L17" i="6"/>
  <c r="I17" i="6"/>
  <c r="E47" i="6"/>
  <c r="E29" i="6" s="1"/>
  <c r="F29" i="6" s="1"/>
  <c r="G29" i="6" s="1"/>
  <c r="H29" i="6" s="1"/>
  <c r="I29" i="6" s="1"/>
  <c r="J29" i="6" s="1"/>
  <c r="K29" i="6" s="1"/>
  <c r="L29" i="6" s="1"/>
  <c r="M29" i="6" s="1"/>
  <c r="N29" i="6" s="1"/>
  <c r="O29" i="6" s="1"/>
  <c r="P29" i="6" s="1"/>
  <c r="F13" i="6"/>
  <c r="I13" i="6"/>
  <c r="H13" i="6"/>
  <c r="G13" i="6"/>
  <c r="L23" i="6" l="1"/>
  <c r="F45" i="6"/>
  <c r="H17" i="6"/>
  <c r="G17" i="6" s="1"/>
  <c r="G23" i="6" s="1"/>
  <c r="M17" i="6"/>
  <c r="M23" i="6" s="1"/>
  <c r="F24" i="10"/>
  <c r="F33" i="10"/>
  <c r="E27" i="10"/>
  <c r="E33" i="10" s="1"/>
  <c r="D7" i="6"/>
  <c r="B28" i="6" s="1"/>
  <c r="F42" i="6"/>
  <c r="F46" i="6"/>
  <c r="F43" i="6"/>
  <c r="F44" i="6"/>
  <c r="J13" i="6"/>
  <c r="H23" i="6" l="1"/>
  <c r="H26" i="6" s="1"/>
  <c r="J23" i="6"/>
  <c r="K23" i="6"/>
  <c r="M25" i="6"/>
  <c r="I23" i="6"/>
  <c r="M26" i="6"/>
  <c r="N17" i="6"/>
  <c r="N23" i="6" s="1"/>
  <c r="C14" i="11"/>
  <c r="D14" i="11" s="1"/>
  <c r="E14" i="11" s="1"/>
  <c r="F14" i="11" s="1"/>
  <c r="G14" i="11" s="1"/>
  <c r="H14" i="11" s="1"/>
  <c r="I14" i="11" s="1"/>
  <c r="J14" i="11" s="1"/>
  <c r="K14" i="11" s="1"/>
  <c r="L14" i="11" s="1"/>
  <c r="C31" i="11"/>
  <c r="E24" i="10"/>
  <c r="E25" i="10" s="1"/>
  <c r="E28" i="10" s="1"/>
  <c r="E32" i="10" s="1"/>
  <c r="F25" i="10"/>
  <c r="F28" i="10" s="1"/>
  <c r="E13" i="6"/>
  <c r="K13" i="6"/>
  <c r="K25" i="6" l="1"/>
  <c r="K26" i="6"/>
  <c r="E26" i="6"/>
  <c r="F26" i="6"/>
  <c r="L26" i="6"/>
  <c r="J26" i="6"/>
  <c r="J25" i="6"/>
  <c r="E25" i="6"/>
  <c r="F25" i="6"/>
  <c r="L25" i="6"/>
  <c r="G25" i="6"/>
  <c r="M24" i="6"/>
  <c r="H24" i="6"/>
  <c r="N24" i="6"/>
  <c r="G24" i="6"/>
  <c r="O24" i="6"/>
  <c r="F24" i="6"/>
  <c r="K24" i="6"/>
  <c r="L24" i="6"/>
  <c r="I24" i="6"/>
  <c r="P24" i="6"/>
  <c r="E24" i="6"/>
  <c r="J24" i="6"/>
  <c r="G26" i="6"/>
  <c r="N25" i="6"/>
  <c r="N26" i="6"/>
  <c r="I26" i="6"/>
  <c r="I25" i="6"/>
  <c r="H25" i="6"/>
  <c r="O17" i="6"/>
  <c r="O23" i="6" s="1"/>
  <c r="C11" i="11"/>
  <c r="C33" i="11"/>
  <c r="C34" i="11" s="1"/>
  <c r="L13" i="6"/>
  <c r="J30" i="11" l="1"/>
  <c r="J31" i="11" s="1"/>
  <c r="O25" i="6"/>
  <c r="O26" i="6"/>
  <c r="P17" i="6"/>
  <c r="P23" i="6" s="1"/>
  <c r="F34" i="10"/>
  <c r="J29" i="11"/>
  <c r="C26" i="11"/>
  <c r="E34" i="10"/>
  <c r="D11" i="11"/>
  <c r="E11" i="11" s="1"/>
  <c r="F11" i="11" s="1"/>
  <c r="G11" i="11" s="1"/>
  <c r="H11" i="11" s="1"/>
  <c r="I11" i="11" s="1"/>
  <c r="M13" i="6"/>
  <c r="J32" i="11" l="1"/>
  <c r="P26" i="6"/>
  <c r="P25" i="6"/>
  <c r="J11" i="11"/>
  <c r="N13" i="6"/>
  <c r="J33" i="11" l="1"/>
  <c r="K11" i="11"/>
  <c r="O13" i="6"/>
  <c r="L11" i="11" l="1"/>
  <c r="P13" i="6"/>
  <c r="O30" i="6" l="1"/>
  <c r="O32" i="6" s="1"/>
  <c r="K30" i="6"/>
  <c r="K32" i="6" s="1"/>
  <c r="I10" i="11" s="1"/>
  <c r="I13" i="11" s="1"/>
  <c r="M30" i="6"/>
  <c r="M32" i="6" s="1"/>
  <c r="K10" i="11" s="1"/>
  <c r="K13" i="11" s="1"/>
  <c r="H30" i="6"/>
  <c r="H32" i="6" s="1"/>
  <c r="F10" i="11" s="1"/>
  <c r="F13" i="11" s="1"/>
  <c r="I30" i="6"/>
  <c r="I32" i="6" s="1"/>
  <c r="G10" i="11" s="1"/>
  <c r="G13" i="11" s="1"/>
  <c r="J30" i="6"/>
  <c r="J32" i="6" s="1"/>
  <c r="H10" i="11" s="1"/>
  <c r="H13" i="11" s="1"/>
  <c r="N30" i="6"/>
  <c r="N32" i="6" s="1"/>
  <c r="L10" i="11" s="1"/>
  <c r="L13" i="11" s="1"/>
  <c r="F30" i="6"/>
  <c r="F32" i="6" s="1"/>
  <c r="D10" i="11" s="1"/>
  <c r="D13" i="11" s="1"/>
  <c r="L30" i="6"/>
  <c r="L32" i="6" s="1"/>
  <c r="J10" i="11" s="1"/>
  <c r="J13" i="11" s="1"/>
  <c r="E30" i="6"/>
  <c r="E32" i="6" s="1"/>
  <c r="C10" i="11" s="1"/>
  <c r="C13" i="11" s="1"/>
  <c r="G30" i="6"/>
  <c r="G32" i="6" s="1"/>
  <c r="E10" i="11" s="1"/>
  <c r="E13" i="11" s="1"/>
  <c r="C17" i="11" l="1"/>
  <c r="C18" i="11" s="1"/>
  <c r="C19" i="11" s="1"/>
  <c r="P30" i="6"/>
  <c r="P32" i="6" s="1"/>
  <c r="C16" i="11"/>
  <c r="D16" i="11" l="1"/>
  <c r="E17" i="11" s="1"/>
  <c r="E18" i="11" s="1"/>
  <c r="E19" i="11" s="1"/>
  <c r="E20" i="11" s="1"/>
  <c r="E21" i="11" s="1"/>
  <c r="D17" i="11"/>
  <c r="D18" i="11" s="1"/>
  <c r="D19" i="11" s="1"/>
  <c r="C20" i="11"/>
  <c r="C21" i="11" s="1"/>
  <c r="E16" i="11" l="1"/>
  <c r="F26" i="11"/>
  <c r="E22" i="11"/>
  <c r="D26" i="11"/>
  <c r="C22" i="11"/>
  <c r="D20" i="11"/>
  <c r="D21" i="11" s="1"/>
  <c r="F16" i="11" l="1"/>
  <c r="F17" i="11"/>
  <c r="F18" i="11" s="1"/>
  <c r="F19" i="11" s="1"/>
  <c r="F20" i="11" s="1"/>
  <c r="F21" i="11" s="1"/>
  <c r="G26" i="11" s="1"/>
  <c r="D22" i="11"/>
  <c r="E26" i="11"/>
  <c r="F22" i="11" l="1"/>
  <c r="G16" i="11"/>
  <c r="G17" i="11"/>
  <c r="G18" i="11" s="1"/>
  <c r="G19" i="11" l="1"/>
  <c r="G20" i="11" s="1"/>
  <c r="G21" i="11" s="1"/>
  <c r="H16" i="11"/>
  <c r="H17" i="11"/>
  <c r="H18" i="11" s="1"/>
  <c r="G22" i="11" l="1"/>
  <c r="H26" i="11"/>
  <c r="I16" i="11"/>
  <c r="I17" i="11"/>
  <c r="I18" i="11" s="1"/>
  <c r="H19" i="11"/>
  <c r="H20" i="11" s="1"/>
  <c r="H21" i="11" s="1"/>
  <c r="H22" i="11" s="1"/>
  <c r="I26" i="11" l="1"/>
  <c r="I19" i="11"/>
  <c r="I20" i="11" s="1"/>
  <c r="I21" i="11" s="1"/>
  <c r="J26" i="11" s="1"/>
  <c r="J16" i="11"/>
  <c r="J17" i="11"/>
  <c r="J18" i="11" s="1"/>
  <c r="I22" i="11" l="1"/>
  <c r="J19" i="11"/>
  <c r="J20" i="11" s="1"/>
  <c r="J21" i="11" s="1"/>
  <c r="K16" i="11"/>
  <c r="K17" i="11"/>
  <c r="K18" i="11" s="1"/>
  <c r="K26" i="11" l="1"/>
  <c r="L16" i="11"/>
  <c r="L17" i="11"/>
  <c r="L18" i="11" s="1"/>
  <c r="K19" i="11"/>
  <c r="K20" i="11" s="1"/>
  <c r="K21" i="11" s="1"/>
  <c r="L26" i="11" s="1"/>
  <c r="J22" i="11"/>
  <c r="K22" i="11" l="1"/>
  <c r="L19" i="11"/>
  <c r="L20" i="11" s="1"/>
  <c r="L21" i="11" s="1"/>
  <c r="M26" i="11" l="1"/>
  <c r="D23" i="11" s="1"/>
  <c r="F4" i="10" s="1"/>
  <c r="G23" i="11"/>
  <c r="F5" i="10" s="1"/>
  <c r="L22" i="11"/>
</calcChain>
</file>

<file path=xl/sharedStrings.xml><?xml version="1.0" encoding="utf-8"?>
<sst xmlns="http://schemas.openxmlformats.org/spreadsheetml/2006/main" count="257" uniqueCount="188">
  <si>
    <t>Total</t>
  </si>
  <si>
    <t>Tax Rate</t>
  </si>
  <si>
    <t>Assumptions</t>
  </si>
  <si>
    <t xml:space="preserve">Year </t>
  </si>
  <si>
    <t>$ Per Ha</t>
  </si>
  <si>
    <t>INVESTMENT CASH FLOW</t>
  </si>
  <si>
    <t>Development</t>
  </si>
  <si>
    <t>Growing Expense (Pre-Productive)</t>
  </si>
  <si>
    <t>$</t>
  </si>
  <si>
    <t>OPERATING CASH FLOW</t>
  </si>
  <si>
    <t>Area Planted By Stage</t>
  </si>
  <si>
    <t>Total Planted</t>
  </si>
  <si>
    <t>Model Size (Ha)</t>
  </si>
  <si>
    <t>Year</t>
  </si>
  <si>
    <t>Property</t>
  </si>
  <si>
    <t>Total Size</t>
  </si>
  <si>
    <t>121 Stanton Road</t>
  </si>
  <si>
    <t>Shepherd</t>
  </si>
  <si>
    <t>Hass</t>
  </si>
  <si>
    <t>Detail</t>
  </si>
  <si>
    <t>0-5 Years</t>
  </si>
  <si>
    <t>5-10 Years</t>
  </si>
  <si>
    <t>&gt;10 Years</t>
  </si>
  <si>
    <t>Shepherd Avocados</t>
  </si>
  <si>
    <t>Hass Avocados</t>
  </si>
  <si>
    <t>Gwen Avocados</t>
  </si>
  <si>
    <t>Total Trees</t>
  </si>
  <si>
    <t>Bores</t>
  </si>
  <si>
    <t>Daily Bore Capacity (L/Sec)</t>
  </si>
  <si>
    <t>Water Entitlements (ML)</t>
  </si>
  <si>
    <t>Trees</t>
  </si>
  <si>
    <t>Dam Storage (ML)</t>
  </si>
  <si>
    <t>87 Stanton Road</t>
  </si>
  <si>
    <t>Lychees</t>
  </si>
  <si>
    <t>Fuerte Avocados</t>
  </si>
  <si>
    <t>Hass Turner Avocados</t>
  </si>
  <si>
    <t>144 Bower Road</t>
  </si>
  <si>
    <t>Seed Avocados</t>
  </si>
  <si>
    <t>Seedless Lemon Trees</t>
  </si>
  <si>
    <t>1506 Mareeba Dimbulah Road</t>
  </si>
  <si>
    <t>Total Trees By Variety, Age and Density</t>
  </si>
  <si>
    <t>Mango</t>
  </si>
  <si>
    <t>Avocado</t>
  </si>
  <si>
    <t>Lychee</t>
  </si>
  <si>
    <t>Lemons</t>
  </si>
  <si>
    <t>10x6</t>
  </si>
  <si>
    <t>9x4</t>
  </si>
  <si>
    <t>8x4</t>
  </si>
  <si>
    <t>9x6</t>
  </si>
  <si>
    <t>11x7</t>
  </si>
  <si>
    <t>Treees / Ha</t>
  </si>
  <si>
    <t>KP Mangoes</t>
  </si>
  <si>
    <t>R2E2 Mangoes</t>
  </si>
  <si>
    <t>Keitt Mangoes</t>
  </si>
  <si>
    <t>Spacing</t>
  </si>
  <si>
    <t>Density Calcs</t>
  </si>
  <si>
    <t>Remove and Replant</t>
  </si>
  <si>
    <t>Old Mangoes</t>
  </si>
  <si>
    <t>Lycheees</t>
  </si>
  <si>
    <t>Bower Road Block</t>
  </si>
  <si>
    <t>Total Replants</t>
  </si>
  <si>
    <t>Original Area (Ha)</t>
  </si>
  <si>
    <t>Crop</t>
  </si>
  <si>
    <t>Proposed Area (Ha)</t>
  </si>
  <si>
    <t>Additional Net Revenue (Mangoes)</t>
  </si>
  <si>
    <t xml:space="preserve">Key Assumptions </t>
  </si>
  <si>
    <t>Key Underwrite Outcomes</t>
  </si>
  <si>
    <t>CPI</t>
  </si>
  <si>
    <t>IRR</t>
  </si>
  <si>
    <t>Capital Growth</t>
  </si>
  <si>
    <t>Average Income</t>
  </si>
  <si>
    <t>Debt Interest Rate</t>
  </si>
  <si>
    <t>Exchange Rate</t>
  </si>
  <si>
    <t>Effect of Capital Growth and Annual CPI on Overall Post Tax IRR Sensitivity Table</t>
  </si>
  <si>
    <t>Management Fee</t>
  </si>
  <si>
    <t>Annual CPI</t>
  </si>
  <si>
    <t>Incentive Hurdle Rate</t>
  </si>
  <si>
    <t>Capital Growth Rate</t>
  </si>
  <si>
    <t>Performance Fee</t>
  </si>
  <si>
    <t>Bank Debt (on Land Value)</t>
  </si>
  <si>
    <t>New Development Area (Ha)</t>
  </si>
  <si>
    <t>*Blue indicates the adopted assumptions within this model</t>
  </si>
  <si>
    <t>**Historic capital growth rates exceed 8%</t>
  </si>
  <si>
    <t>Upfront Investment Calculations and Assumptions</t>
  </si>
  <si>
    <t xml:space="preserve">Upfront Costs </t>
  </si>
  <si>
    <t>USD</t>
  </si>
  <si>
    <t>AUD</t>
  </si>
  <si>
    <t>Combined Land and Water Purchase Price</t>
  </si>
  <si>
    <t>Government Charges</t>
  </si>
  <si>
    <t>Legal and other Upfront Costs including FX hedge</t>
  </si>
  <si>
    <t>Procurement Fee (% of Invested Capital)</t>
  </si>
  <si>
    <t>Total Funding Required</t>
  </si>
  <si>
    <t>Combined Funding Required</t>
  </si>
  <si>
    <t>Funding Sources</t>
  </si>
  <si>
    <t>Sponsor Equity</t>
  </si>
  <si>
    <t>Investor Equity</t>
  </si>
  <si>
    <t>Third Party Bank Debt (In Australia)</t>
  </si>
  <si>
    <t>Total Funding</t>
  </si>
  <si>
    <t>Other Inputs</t>
  </si>
  <si>
    <t>Upfront Depreciable Amount</t>
  </si>
  <si>
    <t>Annual Accounting and Finance Costs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</si>
  <si>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</si>
  <si>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</si>
  <si>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</si>
  <si>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</si>
  <si>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</si>
  <si>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</si>
  <si>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</si>
  <si>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</si>
  <si>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</si>
  <si>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</si>
  <si>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Capital Land Value (at beginning of year)</t>
  </si>
  <si>
    <t>Summary of Income and Expenses</t>
  </si>
  <si>
    <t>Gross Operational Return (from Cashflow Tab)</t>
  </si>
  <si>
    <t>Base Sponsor Management Fee (% of Invested Capital)</t>
  </si>
  <si>
    <t xml:space="preserve">Accounting, Valuations and Other Direct Expenses </t>
  </si>
  <si>
    <t>EBIT DA</t>
  </si>
  <si>
    <t>Interest on Borrowing (% on Debt I/Only)</t>
  </si>
  <si>
    <t xml:space="preserve">Depreciation </t>
  </si>
  <si>
    <t>Carryforward Tax Losses (for the next financial year)</t>
  </si>
  <si>
    <t>Australian Tax Payable</t>
  </si>
  <si>
    <t>Net Profit After Australian Tax (NPAT)</t>
  </si>
  <si>
    <t>Sponsor Share of Income</t>
  </si>
  <si>
    <t>Net Investor Income Distribution (% of Equity)</t>
  </si>
  <si>
    <t>Net Investor Income Distribution (Comes with 30% Tax Paid)</t>
  </si>
  <si>
    <t>Model Summary with an exit in Year 10</t>
  </si>
  <si>
    <t xml:space="preserve">Average Income </t>
  </si>
  <si>
    <t>Combined Investor Cashflow (Income and Capital)</t>
  </si>
  <si>
    <t>Year 0</t>
  </si>
  <si>
    <t>Actual Investor Equity Cashflow After 30% Tax Paid</t>
  </si>
  <si>
    <t>Sales Summary in Year 10</t>
  </si>
  <si>
    <t>Exit Cashflow Calculations</t>
  </si>
  <si>
    <t>Gross Sale Revenue</t>
  </si>
  <si>
    <t>Equity Invested Originally (inc development costs)</t>
  </si>
  <si>
    <t>Agent Fees and Legals on Exit</t>
  </si>
  <si>
    <t>Final Sale Price (net of fees and after repaying Debt)</t>
  </si>
  <si>
    <t>Repay Initial Loan and Development Loan</t>
  </si>
  <si>
    <t>Profit on Capital Gain on Completion</t>
  </si>
  <si>
    <t>Net Realisation in Year 10 (Before Tax)</t>
  </si>
  <si>
    <t>Share to Sponsor</t>
  </si>
  <si>
    <t>Less Tax Payable on Capital Gain*</t>
  </si>
  <si>
    <t>Net Capital Realisation in Year 10 After Tax</t>
  </si>
  <si>
    <t>* Procurement Fee is deducted from US entity so that will be reflected on exit for the US entity</t>
  </si>
  <si>
    <t>Equates to ML / Year based on 200 days of pumping</t>
  </si>
  <si>
    <t>Total Water Calculations</t>
  </si>
  <si>
    <t>Permanent Entitlements</t>
  </si>
  <si>
    <t>Bore Water (Ground Water)</t>
  </si>
  <si>
    <t>On Farm Storage water and spring water</t>
  </si>
  <si>
    <t>Total Available Water Per Annum</t>
  </si>
  <si>
    <t>Planted Area (Ha)</t>
  </si>
  <si>
    <t>Density (Trees / Ha)</t>
  </si>
  <si>
    <t>Area in Ha</t>
  </si>
  <si>
    <t>Mature Avocado Yield (Tonne/Ha)</t>
  </si>
  <si>
    <t>Net Farmgate Price AUD$ / Kg</t>
  </si>
  <si>
    <t>Existing Plantings</t>
  </si>
  <si>
    <t>Year 1 Plantings</t>
  </si>
  <si>
    <t>Year 2 Plantings</t>
  </si>
  <si>
    <t>Year 3 Plantings</t>
  </si>
  <si>
    <t>Year 4 Plantings</t>
  </si>
  <si>
    <t>Total Capex (Equity and Debt Funded)</t>
  </si>
  <si>
    <t>Northern QLD Avocado Operational Cashflow Model in Australian Dollars</t>
  </si>
  <si>
    <t>Net Operating Income</t>
  </si>
  <si>
    <t>CPI Adjusted Net Operating Income</t>
  </si>
  <si>
    <t>*Sales prices qutoed are wholesale sale price so the harvest cost includes all marketing, packing and distribution costs</t>
  </si>
  <si>
    <t>Repairs and Maintenance Costs</t>
  </si>
  <si>
    <t>Fixed Property Costs and Land Taxes</t>
  </si>
  <si>
    <t>% of Land Value</t>
  </si>
  <si>
    <t>Repairs and Maintenance and Fixed Property Costs</t>
  </si>
  <si>
    <t>Existing Avocado Revenue</t>
  </si>
  <si>
    <t>Existing Avocado Growing Expense</t>
  </si>
  <si>
    <t>Existing Avocado Harvesting Cost</t>
  </si>
  <si>
    <t>Existing Avocado Marketing and Distribution Cost</t>
  </si>
  <si>
    <t>New Avocado Revenue</t>
  </si>
  <si>
    <t>New Avocado Growing Expense</t>
  </si>
  <si>
    <t>New Avocado Harvesting Cost</t>
  </si>
  <si>
    <t>New Avocado Marketing and Distribution Cost</t>
  </si>
  <si>
    <t>Existing Avocado Orchard Yield in Tonnes / Ha</t>
  </si>
  <si>
    <t>New Avocado Plantings Yield in Tonnes / Ha</t>
  </si>
  <si>
    <t xml:space="preserve">Cash Flow for the Northern QLD Avocado Aggregation (in US$) After Australian Tax </t>
  </si>
  <si>
    <t>$1/kg</t>
  </si>
  <si>
    <t>Development and Upfront Reimbursement Costs</t>
  </si>
  <si>
    <t>Upfront Reimbursements and Ongoing Infrastructure and Machinery</t>
  </si>
  <si>
    <t>Net distribution to Investor in addition to original capital invested</t>
  </si>
  <si>
    <t>Queensland Avocado Aggregation Financial Model Summary and Assumptions</t>
  </si>
  <si>
    <t>Staff Costs and General Expenses</t>
  </si>
  <si>
    <t>Gross Income as a % of equity Before Tax</t>
  </si>
  <si>
    <t>Actual Capacity is 69.5l/sec, however two of the bores being purchased are drilled but not equipped with a pump. We will add them post purchase</t>
  </si>
  <si>
    <t>Farm Area Summary and Planted Area Detail by Crop and Variety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</si>
</sst>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  <numFmt numFmtId="166" formatCode="0.0%"/>
    <numFmt numFmtId="167" formatCode="_(* #,##0.0_);_(* \(#,##0.0\);_(* &quot;-&quot;??_);_(@_)"/>
    <numFmt numFmtId="168" formatCode="0&quot; Hectares&quot;"/>
    <numFmt numFmtId="169" formatCode="_(* #,##0_);_(* \(#,##0\);_(* &quot;-&quot;?_);_(@_)"/>
    <numFmt numFmtId="170" formatCode="0.000"/>
  </numFmts>
  <fonts count="3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0"/>
      <color theme="0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i/>
      <sz val="10"/>
      <color theme="1"/>
      <name val="Cambria"/>
      <family val="1"/>
      <scheme val="major"/>
    </font>
    <font>
      <sz val="10"/>
      <color rgb="FF0000FF"/>
      <name val="Cambria"/>
      <family val="1"/>
      <scheme val="major"/>
    </font>
    <font>
      <i/>
      <sz val="10"/>
      <color theme="1"/>
      <name val="Cambria"/>
      <family val="1"/>
      <scheme val="major"/>
    </font>
    <font>
      <b/>
      <sz val="11"/>
      <color rgb="FF00206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i/>
      <sz val="11"/>
      <color rgb="FF00206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i/>
      <sz val="12"/>
      <color theme="4" tint="-0.499984740745262"/>
      <name val="Calibri"/>
      <family val="2"/>
      <scheme val="minor"/>
    </font>
    <font>
      <i/>
      <sz val="12"/>
      <color theme="4" tint="-0.499984740745262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0"/>
      <color rgb="FF0000FF"/>
      <name val="Cambria"/>
      <family val="1"/>
      <scheme val="major"/>
    </font>
    <font>
      <sz val="10"/>
      <name val="Cambria"/>
      <family val="1"/>
      <scheme val="major"/>
    </font>
    <font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009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ck">
        <color theme="0"/>
      </right>
      <top/>
      <bottom style="thin">
        <color auto="1"/>
      </bottom>
      <diagonal/>
    </border>
    <border>
      <left style="thick">
        <color theme="0"/>
      </left>
      <right style="thick">
        <color theme="0"/>
      </right>
      <top/>
      <bottom style="thin">
        <color auto="1"/>
      </bottom>
      <diagonal/>
    </border>
    <border>
      <left style="thick">
        <color theme="0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rgb="FF002060"/>
      </top>
      <bottom/>
      <diagonal/>
    </border>
    <border>
      <left/>
      <right style="thin">
        <color indexed="64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3" tint="0.59996337778862885"/>
      </top>
      <bottom style="thin">
        <color rgb="FF002060"/>
      </bottom>
      <diagonal/>
    </border>
    <border>
      <left style="thin">
        <color indexed="64"/>
      </left>
      <right/>
      <top style="medium">
        <color auto="1"/>
      </top>
      <bottom style="thin">
        <color theme="3" tint="0.59996337778862885"/>
      </bottom>
      <diagonal/>
    </border>
    <border>
      <left/>
      <right/>
      <top style="medium">
        <color auto="1"/>
      </top>
      <bottom style="thin">
        <color theme="3" tint="0.59996337778862885"/>
      </bottom>
      <diagonal/>
    </border>
    <border>
      <left style="thin">
        <color indexed="64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 style="thin">
        <color indexed="64"/>
      </left>
      <right/>
      <top style="thin">
        <color theme="3" tint="0.59996337778862885"/>
      </top>
      <bottom/>
      <diagonal/>
    </border>
    <border>
      <left/>
      <right/>
      <top style="thin">
        <color theme="3" tint="0.59996337778862885"/>
      </top>
      <bottom/>
      <diagonal/>
    </border>
    <border>
      <left style="thin">
        <color rgb="FF00206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 style="thin">
        <color theme="3" tint="0.59996337778862885"/>
      </bottom>
      <diagonal/>
    </border>
    <border>
      <left/>
      <right style="thin">
        <color rgb="FF002060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rgb="FF002060"/>
      </right>
      <top style="thin">
        <color theme="3" tint="0.59996337778862885"/>
      </top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5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8">
    <xf numFmtId="0" fontId="0" fillId="0" borderId="0" xfId="0"/>
    <xf numFmtId="167" fontId="0" fillId="0" borderId="0" xfId="1" applyNumberFormat="1" applyFont="1"/>
    <xf numFmtId="0" fontId="7" fillId="0" borderId="0" xfId="0" applyFont="1"/>
    <xf numFmtId="0" fontId="8" fillId="4" borderId="0" xfId="0" applyFont="1" applyFill="1"/>
    <xf numFmtId="0" fontId="9" fillId="4" borderId="0" xfId="0" applyFont="1" applyFill="1"/>
    <xf numFmtId="0" fontId="9" fillId="4" borderId="0" xfId="0" applyFont="1" applyFill="1" applyAlignment="1">
      <alignment horizontal="centerContinuous"/>
    </xf>
    <xf numFmtId="0" fontId="9" fillId="4" borderId="0" xfId="0" applyFont="1" applyFill="1" applyAlignment="1">
      <alignment horizontal="center"/>
    </xf>
    <xf numFmtId="168" fontId="10" fillId="2" borderId="11" xfId="0" applyNumberFormat="1" applyFont="1" applyFill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5" fontId="12" fillId="2" borderId="1" xfId="0" applyNumberFormat="1" applyFont="1" applyFill="1" applyBorder="1" applyAlignment="1">
      <alignment horizontal="center"/>
    </xf>
    <xf numFmtId="5" fontId="7" fillId="0" borderId="0" xfId="0" applyNumberFormat="1" applyFont="1"/>
    <xf numFmtId="5" fontId="10" fillId="0" borderId="6" xfId="0" applyNumberFormat="1" applyFont="1" applyBorder="1"/>
    <xf numFmtId="5" fontId="7" fillId="0" borderId="0" xfId="0" applyNumberFormat="1" applyFont="1" applyAlignment="1">
      <alignment horizontal="center"/>
    </xf>
    <xf numFmtId="5" fontId="10" fillId="0" borderId="0" xfId="0" applyNumberFormat="1" applyFont="1" applyAlignment="1">
      <alignment horizontal="center"/>
    </xf>
    <xf numFmtId="164" fontId="11" fillId="0" borderId="0" xfId="3" applyNumberFormat="1" applyFont="1"/>
    <xf numFmtId="5" fontId="10" fillId="0" borderId="0" xfId="0" applyNumberFormat="1" applyFont="1" applyBorder="1"/>
    <xf numFmtId="0" fontId="7" fillId="0" borderId="0" xfId="0" applyFont="1" applyAlignment="1">
      <alignment horizontal="center"/>
    </xf>
    <xf numFmtId="0" fontId="7" fillId="0" borderId="20" xfId="0" applyFont="1" applyBorder="1"/>
    <xf numFmtId="168" fontId="10" fillId="3" borderId="21" xfId="0" applyNumberFormat="1" applyFont="1" applyFill="1" applyBorder="1" applyAlignment="1">
      <alignment horizontal="center"/>
    </xf>
    <xf numFmtId="9" fontId="7" fillId="0" borderId="0" xfId="2" applyFont="1" applyAlignment="1">
      <alignment horizontal="left"/>
    </xf>
    <xf numFmtId="0" fontId="7" fillId="0" borderId="22" xfId="0" applyFont="1" applyBorder="1"/>
    <xf numFmtId="0" fontId="13" fillId="0" borderId="0" xfId="0" applyFont="1"/>
    <xf numFmtId="0" fontId="0" fillId="0" borderId="0" xfId="0" applyAlignment="1">
      <alignment vertical="center"/>
    </xf>
    <xf numFmtId="5" fontId="13" fillId="0" borderId="0" xfId="0" applyNumberFormat="1" applyFont="1"/>
    <xf numFmtId="9" fontId="13" fillId="0" borderId="0" xfId="0" applyNumberFormat="1" applyFont="1"/>
    <xf numFmtId="0" fontId="2" fillId="0" borderId="3" xfId="0" applyFont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/>
    <xf numFmtId="0" fontId="0" fillId="0" borderId="3" xfId="0" applyBorder="1"/>
    <xf numFmtId="0" fontId="2" fillId="0" borderId="23" xfId="0" applyFont="1" applyBorder="1"/>
    <xf numFmtId="167" fontId="2" fillId="0" borderId="3" xfId="1" applyNumberFormat="1" applyFont="1" applyBorder="1"/>
    <xf numFmtId="164" fontId="0" fillId="0" borderId="0" xfId="1" applyNumberFormat="1" applyFont="1"/>
    <xf numFmtId="164" fontId="2" fillId="0" borderId="3" xfId="1" applyNumberFormat="1" applyFont="1" applyBorder="1"/>
    <xf numFmtId="0" fontId="2" fillId="0" borderId="3" xfId="0" applyFont="1" applyFill="1" applyBorder="1" applyAlignment="1">
      <alignment horizontal="center"/>
    </xf>
    <xf numFmtId="164" fontId="0" fillId="0" borderId="0" xfId="0" applyNumberFormat="1"/>
    <xf numFmtId="167" fontId="2" fillId="0" borderId="3" xfId="0" applyNumberFormat="1" applyFont="1" applyBorder="1"/>
    <xf numFmtId="164" fontId="2" fillId="0" borderId="3" xfId="0" applyNumberFormat="1" applyFont="1" applyBorder="1"/>
    <xf numFmtId="164" fontId="2" fillId="0" borderId="3" xfId="0" applyNumberFormat="1" applyFont="1" applyBorder="1" applyAlignment="1">
      <alignment horizontal="center"/>
    </xf>
    <xf numFmtId="167" fontId="0" fillId="0" borderId="0" xfId="0" applyNumberFormat="1"/>
    <xf numFmtId="43" fontId="0" fillId="0" borderId="0" xfId="0" applyNumberFormat="1"/>
    <xf numFmtId="169" fontId="0" fillId="0" borderId="0" xfId="0" applyNumberFormat="1"/>
    <xf numFmtId="0" fontId="15" fillId="5" borderId="5" xfId="0" applyFont="1" applyFill="1" applyBorder="1" applyAlignment="1">
      <alignment horizontal="center"/>
    </xf>
    <xf numFmtId="0" fontId="15" fillId="5" borderId="13" xfId="0" applyFont="1" applyFill="1" applyBorder="1" applyAlignment="1">
      <alignment horizontal="center"/>
    </xf>
    <xf numFmtId="0" fontId="16" fillId="0" borderId="25" xfId="0" applyFont="1" applyBorder="1"/>
    <xf numFmtId="9" fontId="16" fillId="0" borderId="26" xfId="0" applyNumberFormat="1" applyFont="1" applyBorder="1"/>
    <xf numFmtId="0" fontId="16" fillId="0" borderId="8" xfId="0" applyFont="1" applyBorder="1"/>
    <xf numFmtId="10" fontId="16" fillId="0" borderId="14" xfId="0" applyNumberFormat="1" applyFont="1" applyBorder="1"/>
    <xf numFmtId="9" fontId="16" fillId="0" borderId="14" xfId="0" applyNumberFormat="1" applyFont="1" applyBorder="1"/>
    <xf numFmtId="0" fontId="16" fillId="0" borderId="10" xfId="0" applyFont="1" applyBorder="1"/>
    <xf numFmtId="10" fontId="0" fillId="0" borderId="0" xfId="0" applyNumberFormat="1"/>
    <xf numFmtId="2" fontId="16" fillId="0" borderId="14" xfId="0" applyNumberFormat="1" applyFont="1" applyBorder="1"/>
    <xf numFmtId="0" fontId="18" fillId="0" borderId="29" xfId="0" applyFont="1" applyBorder="1"/>
    <xf numFmtId="0" fontId="18" fillId="0" borderId="0" xfId="0" applyFont="1"/>
    <xf numFmtId="0" fontId="17" fillId="0" borderId="1" xfId="0" applyFont="1" applyBorder="1"/>
    <xf numFmtId="9" fontId="17" fillId="0" borderId="3" xfId="0" applyNumberFormat="1" applyFont="1" applyBorder="1" applyAlignment="1">
      <alignment horizontal="center"/>
    </xf>
    <xf numFmtId="9" fontId="17" fillId="6" borderId="3" xfId="0" applyNumberFormat="1" applyFont="1" applyFill="1" applyBorder="1" applyAlignment="1">
      <alignment horizontal="center"/>
    </xf>
    <xf numFmtId="9" fontId="17" fillId="0" borderId="4" xfId="0" applyNumberFormat="1" applyFont="1" applyBorder="1" applyAlignment="1">
      <alignment horizontal="center"/>
    </xf>
    <xf numFmtId="9" fontId="17" fillId="0" borderId="9" xfId="0" applyNumberFormat="1" applyFont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6" fontId="18" fillId="6" borderId="0" xfId="0" applyNumberFormat="1" applyFont="1" applyFill="1" applyAlignment="1">
      <alignment horizontal="center"/>
    </xf>
    <xf numFmtId="166" fontId="18" fillId="0" borderId="14" xfId="0" applyNumberFormat="1" applyFont="1" applyBorder="1" applyAlignment="1">
      <alignment horizontal="center"/>
    </xf>
    <xf numFmtId="9" fontId="16" fillId="0" borderId="15" xfId="0" applyNumberFormat="1" applyFont="1" applyBorder="1"/>
    <xf numFmtId="9" fontId="17" fillId="6" borderId="9" xfId="0" applyNumberFormat="1" applyFont="1" applyFill="1" applyBorder="1" applyAlignment="1">
      <alignment horizontal="center"/>
    </xf>
    <xf numFmtId="166" fontId="19" fillId="6" borderId="32" xfId="0" applyNumberFormat="1" applyFont="1" applyFill="1" applyBorder="1" applyAlignment="1">
      <alignment horizontal="center"/>
    </xf>
    <xf numFmtId="166" fontId="18" fillId="6" borderId="14" xfId="0" applyNumberFormat="1" applyFont="1" applyFill="1" applyBorder="1" applyAlignment="1">
      <alignment horizontal="center"/>
    </xf>
    <xf numFmtId="0" fontId="16" fillId="0" borderId="5" xfId="0" applyFont="1" applyBorder="1"/>
    <xf numFmtId="9" fontId="17" fillId="0" borderId="12" xfId="0" applyNumberFormat="1" applyFont="1" applyBorder="1" applyAlignment="1">
      <alignment horizontal="center"/>
    </xf>
    <xf numFmtId="166" fontId="18" fillId="0" borderId="11" xfId="0" applyNumberFormat="1" applyFont="1" applyBorder="1" applyAlignment="1">
      <alignment horizontal="center"/>
    </xf>
    <xf numFmtId="166" fontId="18" fillId="6" borderId="11" xfId="0" applyNumberFormat="1" applyFont="1" applyFill="1" applyBorder="1" applyAlignment="1">
      <alignment horizontal="center"/>
    </xf>
    <xf numFmtId="166" fontId="18" fillId="0" borderId="15" xfId="0" applyNumberFormat="1" applyFont="1" applyBorder="1" applyAlignment="1">
      <alignment horizontal="center"/>
    </xf>
    <xf numFmtId="164" fontId="16" fillId="0" borderId="15" xfId="1" applyNumberFormat="1" applyFont="1" applyFill="1" applyBorder="1"/>
    <xf numFmtId="0" fontId="20" fillId="0" borderId="0" xfId="0" applyFont="1" applyAlignment="1">
      <alignment horizontal="left"/>
    </xf>
    <xf numFmtId="0" fontId="21" fillId="0" borderId="0" xfId="0" applyFont="1"/>
    <xf numFmtId="0" fontId="22" fillId="0" borderId="11" xfId="0" applyFont="1" applyBorder="1"/>
    <xf numFmtId="0" fontId="21" fillId="0" borderId="11" xfId="0" applyFont="1" applyBorder="1"/>
    <xf numFmtId="0" fontId="17" fillId="0" borderId="11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  <xf numFmtId="165" fontId="17" fillId="0" borderId="0" xfId="0" applyNumberFormat="1" applyFont="1"/>
    <xf numFmtId="164" fontId="17" fillId="0" borderId="6" xfId="0" applyNumberFormat="1" applyFont="1" applyBorder="1"/>
    <xf numFmtId="9" fontId="21" fillId="0" borderId="0" xfId="0" applyNumberFormat="1" applyFont="1"/>
    <xf numFmtId="165" fontId="21" fillId="0" borderId="0" xfId="0" applyNumberFormat="1" applyFont="1"/>
    <xf numFmtId="164" fontId="21" fillId="0" borderId="0" xfId="0" applyNumberFormat="1" applyFont="1"/>
    <xf numFmtId="166" fontId="21" fillId="0" borderId="0" xfId="0" applyNumberFormat="1" applyFont="1"/>
    <xf numFmtId="0" fontId="17" fillId="0" borderId="23" xfId="0" applyFont="1" applyBorder="1"/>
    <xf numFmtId="164" fontId="17" fillId="0" borderId="23" xfId="0" applyNumberFormat="1" applyFont="1" applyBorder="1"/>
    <xf numFmtId="0" fontId="21" fillId="0" borderId="6" xfId="0" applyFont="1" applyBorder="1"/>
    <xf numFmtId="0" fontId="18" fillId="0" borderId="6" xfId="0" applyFont="1" applyBorder="1"/>
    <xf numFmtId="164" fontId="21" fillId="0" borderId="6" xfId="0" applyNumberFormat="1" applyFont="1" applyBorder="1"/>
    <xf numFmtId="0" fontId="17" fillId="0" borderId="33" xfId="0" applyFont="1" applyBorder="1"/>
    <xf numFmtId="0" fontId="19" fillId="0" borderId="33" xfId="0" applyFont="1" applyBorder="1"/>
    <xf numFmtId="164" fontId="19" fillId="0" borderId="33" xfId="0" applyNumberFormat="1" applyFont="1" applyBorder="1"/>
    <xf numFmtId="0" fontId="23" fillId="0" borderId="11" xfId="0" applyFont="1" applyBorder="1"/>
    <xf numFmtId="164" fontId="18" fillId="0" borderId="0" xfId="1" applyNumberFormat="1" applyFont="1"/>
    <xf numFmtId="164" fontId="18" fillId="0" borderId="0" xfId="0" applyNumberFormat="1" applyFont="1"/>
    <xf numFmtId="0" fontId="19" fillId="0" borderId="23" xfId="0" applyFont="1" applyBorder="1"/>
    <xf numFmtId="164" fontId="19" fillId="0" borderId="23" xfId="1" applyNumberFormat="1" applyFont="1" applyBorder="1"/>
    <xf numFmtId="0" fontId="18" fillId="0" borderId="11" xfId="0" applyFont="1" applyBorder="1"/>
    <xf numFmtId="0" fontId="24" fillId="0" borderId="0" xfId="0" applyFont="1"/>
    <xf numFmtId="0" fontId="16" fillId="0" borderId="0" xfId="0" applyFont="1" applyAlignment="1">
      <alignment horizontal="left"/>
    </xf>
    <xf numFmtId="0" fontId="0" fillId="2" borderId="0" xfId="0" applyFill="1"/>
    <xf numFmtId="165" fontId="0" fillId="2" borderId="0" xfId="1" applyNumberFormat="1" applyFont="1" applyFill="1"/>
    <xf numFmtId="165" fontId="0" fillId="0" borderId="0" xfId="1" applyNumberFormat="1" applyFont="1"/>
    <xf numFmtId="0" fontId="0" fillId="2" borderId="0" xfId="0" applyFill="1" applyAlignment="1">
      <alignment vertical="center"/>
    </xf>
    <xf numFmtId="0" fontId="15" fillId="5" borderId="0" xfId="0" applyFont="1" applyFill="1" applyAlignment="1">
      <alignment vertical="center"/>
    </xf>
    <xf numFmtId="0" fontId="15" fillId="5" borderId="0" xfId="0" applyFont="1" applyFill="1" applyAlignment="1">
      <alignment horizontal="center" vertical="center"/>
    </xf>
    <xf numFmtId="165" fontId="15" fillId="5" borderId="0" xfId="1" applyNumberFormat="1" applyFont="1" applyFill="1" applyBorder="1" applyAlignment="1">
      <alignment horizontal="center" vertical="center"/>
    </xf>
    <xf numFmtId="0" fontId="16" fillId="2" borderId="0" xfId="0" applyFont="1" applyFill="1"/>
    <xf numFmtId="0" fontId="20" fillId="0" borderId="0" xfId="0" applyFont="1"/>
    <xf numFmtId="9" fontId="20" fillId="0" borderId="0" xfId="2" applyFont="1" applyAlignment="1">
      <alignment horizontal="right"/>
    </xf>
    <xf numFmtId="0" fontId="16" fillId="0" borderId="0" xfId="0" applyFont="1"/>
    <xf numFmtId="0" fontId="20" fillId="0" borderId="34" xfId="0" applyFont="1" applyBorder="1"/>
    <xf numFmtId="9" fontId="20" fillId="0" borderId="34" xfId="2" applyFont="1" applyBorder="1" applyAlignment="1">
      <alignment horizontal="right"/>
    </xf>
    <xf numFmtId="43" fontId="16" fillId="0" borderId="0" xfId="1" applyFont="1"/>
    <xf numFmtId="9" fontId="16" fillId="0" borderId="0" xfId="2" applyFont="1"/>
    <xf numFmtId="0" fontId="26" fillId="2" borderId="0" xfId="0" applyFont="1" applyFill="1" applyAlignment="1">
      <alignment vertical="center"/>
    </xf>
    <xf numFmtId="165" fontId="15" fillId="5" borderId="0" xfId="1" applyNumberFormat="1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27" fillId="5" borderId="27" xfId="0" applyFont="1" applyFill="1" applyBorder="1" applyAlignment="1">
      <alignment vertical="center"/>
    </xf>
    <xf numFmtId="165" fontId="15" fillId="5" borderId="23" xfId="1" applyNumberFormat="1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6" fillId="0" borderId="35" xfId="0" applyFont="1" applyBorder="1"/>
    <xf numFmtId="165" fontId="16" fillId="0" borderId="36" xfId="1" applyNumberFormat="1" applyFont="1" applyBorder="1"/>
    <xf numFmtId="0" fontId="16" fillId="0" borderId="37" xfId="0" applyFont="1" applyBorder="1"/>
    <xf numFmtId="165" fontId="16" fillId="0" borderId="38" xfId="1" applyNumberFormat="1" applyFont="1" applyBorder="1"/>
    <xf numFmtId="0" fontId="16" fillId="0" borderId="39" xfId="0" applyFont="1" applyBorder="1"/>
    <xf numFmtId="165" fontId="16" fillId="0" borderId="40" xfId="1" applyNumberFormat="1" applyFont="1" applyBorder="1"/>
    <xf numFmtId="0" fontId="15" fillId="5" borderId="8" xfId="0" applyFont="1" applyFill="1" applyBorder="1"/>
    <xf numFmtId="165" fontId="15" fillId="5" borderId="0" xfId="1" applyNumberFormat="1" applyFont="1" applyFill="1" applyBorder="1"/>
    <xf numFmtId="165" fontId="0" fillId="0" borderId="0" xfId="0" applyNumberFormat="1" applyAlignment="1">
      <alignment vertical="center"/>
    </xf>
    <xf numFmtId="165" fontId="16" fillId="0" borderId="0" xfId="1" applyNumberFormat="1" applyFont="1" applyBorder="1"/>
    <xf numFmtId="0" fontId="26" fillId="2" borderId="0" xfId="0" applyFont="1" applyFill="1"/>
    <xf numFmtId="0" fontId="15" fillId="5" borderId="10" xfId="0" applyFont="1" applyFill="1" applyBorder="1"/>
    <xf numFmtId="165" fontId="15" fillId="5" borderId="11" xfId="1" applyNumberFormat="1" applyFont="1" applyFill="1" applyBorder="1"/>
    <xf numFmtId="0" fontId="26" fillId="0" borderId="0" xfId="0" applyFont="1"/>
    <xf numFmtId="10" fontId="16" fillId="2" borderId="0" xfId="2" applyNumberFormat="1" applyFont="1" applyFill="1"/>
    <xf numFmtId="10" fontId="16" fillId="2" borderId="0" xfId="0" applyNumberFormat="1" applyFont="1" applyFill="1"/>
    <xf numFmtId="165" fontId="16" fillId="0" borderId="0" xfId="1" applyNumberFormat="1" applyFont="1"/>
    <xf numFmtId="0" fontId="3" fillId="0" borderId="0" xfId="0" applyFont="1" applyAlignment="1">
      <alignment vertical="center"/>
    </xf>
    <xf numFmtId="0" fontId="15" fillId="5" borderId="0" xfId="0" applyFont="1" applyFill="1" applyAlignment="1">
      <alignment horizontal="left"/>
    </xf>
    <xf numFmtId="165" fontId="15" fillId="5" borderId="0" xfId="1" applyNumberFormat="1" applyFont="1" applyFill="1" applyAlignment="1">
      <alignment horizontal="right"/>
    </xf>
    <xf numFmtId="10" fontId="15" fillId="5" borderId="0" xfId="0" applyNumberFormat="1" applyFont="1" applyFill="1" applyAlignment="1">
      <alignment horizontal="right"/>
    </xf>
    <xf numFmtId="10" fontId="15" fillId="5" borderId="0" xfId="2" applyNumberFormat="1" applyFont="1" applyFill="1" applyAlignment="1">
      <alignment horizontal="right"/>
    </xf>
    <xf numFmtId="9" fontId="14" fillId="0" borderId="0" xfId="2" applyFont="1"/>
    <xf numFmtId="165" fontId="0" fillId="2" borderId="0" xfId="0" applyNumberFormat="1" applyFill="1"/>
    <xf numFmtId="9" fontId="14" fillId="2" borderId="0" xfId="2" applyFont="1" applyFill="1"/>
    <xf numFmtId="0" fontId="14" fillId="2" borderId="0" xfId="0" applyFont="1" applyFill="1" applyAlignment="1">
      <alignment horizontal="center"/>
    </xf>
    <xf numFmtId="165" fontId="14" fillId="0" borderId="3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2" borderId="0" xfId="0" applyFont="1" applyFill="1"/>
    <xf numFmtId="0" fontId="14" fillId="0" borderId="0" xfId="0" applyFont="1"/>
    <xf numFmtId="165" fontId="14" fillId="0" borderId="0" xfId="0" applyNumberFormat="1" applyFont="1"/>
    <xf numFmtId="165" fontId="14" fillId="0" borderId="0" xfId="1" applyNumberFormat="1" applyFont="1"/>
    <xf numFmtId="10" fontId="16" fillId="0" borderId="0" xfId="0" applyNumberFormat="1" applyFont="1"/>
    <xf numFmtId="165" fontId="16" fillId="0" borderId="0" xfId="0" applyNumberFormat="1" applyFont="1"/>
    <xf numFmtId="0" fontId="3" fillId="2" borderId="0" xfId="0" applyFont="1" applyFill="1"/>
    <xf numFmtId="0" fontId="17" fillId="0" borderId="41" xfId="0" applyFont="1" applyBorder="1"/>
    <xf numFmtId="165" fontId="21" fillId="0" borderId="42" xfId="1" applyNumberFormat="1" applyFont="1" applyFill="1" applyBorder="1"/>
    <xf numFmtId="0" fontId="3" fillId="0" borderId="0" xfId="0" applyFont="1"/>
    <xf numFmtId="0" fontId="17" fillId="0" borderId="1" xfId="0" applyFont="1" applyBorder="1" applyAlignment="1">
      <alignment horizontal="center"/>
    </xf>
    <xf numFmtId="0" fontId="16" fillId="0" borderId="43" xfId="0" applyFont="1" applyBorder="1"/>
    <xf numFmtId="165" fontId="16" fillId="0" borderId="44" xfId="0" applyNumberFormat="1" applyFont="1" applyBorder="1"/>
    <xf numFmtId="165" fontId="16" fillId="0" borderId="14" xfId="0" applyNumberFormat="1" applyFont="1" applyBorder="1"/>
    <xf numFmtId="165" fontId="16" fillId="0" borderId="45" xfId="1" applyNumberFormat="1" applyFont="1" applyBorder="1"/>
    <xf numFmtId="165" fontId="16" fillId="0" borderId="46" xfId="1" applyNumberFormat="1" applyFont="1" applyBorder="1"/>
    <xf numFmtId="0" fontId="14" fillId="0" borderId="43" xfId="0" applyFont="1" applyBorder="1"/>
    <xf numFmtId="165" fontId="14" fillId="0" borderId="45" xfId="1" applyNumberFormat="1" applyFont="1" applyBorder="1"/>
    <xf numFmtId="165" fontId="3" fillId="0" borderId="0" xfId="0" applyNumberFormat="1" applyFont="1"/>
    <xf numFmtId="165" fontId="16" fillId="0" borderId="14" xfId="1" applyNumberFormat="1" applyFont="1" applyBorder="1"/>
    <xf numFmtId="165" fontId="0" fillId="0" borderId="0" xfId="0" applyNumberFormat="1"/>
    <xf numFmtId="0" fontId="14" fillId="0" borderId="2" xfId="0" applyFont="1" applyBorder="1"/>
    <xf numFmtId="165" fontId="14" fillId="0" borderId="4" xfId="0" applyNumberFormat="1" applyFont="1" applyBorder="1"/>
    <xf numFmtId="0" fontId="15" fillId="5" borderId="43" xfId="0" applyFont="1" applyFill="1" applyBorder="1"/>
    <xf numFmtId="165" fontId="15" fillId="5" borderId="46" xfId="1" applyNumberFormat="1" applyFont="1" applyFill="1" applyBorder="1"/>
    <xf numFmtId="0" fontId="20" fillId="0" borderId="2" xfId="0" applyFont="1" applyBorder="1"/>
    <xf numFmtId="0" fontId="0" fillId="0" borderId="4" xfId="0" applyBorder="1"/>
    <xf numFmtId="0" fontId="2" fillId="0" borderId="11" xfId="0" applyFont="1" applyBorder="1"/>
    <xf numFmtId="164" fontId="2" fillId="0" borderId="23" xfId="1" applyNumberFormat="1" applyFont="1" applyBorder="1"/>
    <xf numFmtId="167" fontId="2" fillId="0" borderId="23" xfId="0" applyNumberFormat="1" applyFont="1" applyBorder="1"/>
    <xf numFmtId="9" fontId="9" fillId="4" borderId="0" xfId="0" applyNumberFormat="1" applyFont="1" applyFill="1" applyAlignment="1">
      <alignment horizontal="center"/>
    </xf>
    <xf numFmtId="9" fontId="11" fillId="0" borderId="0" xfId="2" applyFont="1"/>
    <xf numFmtId="9" fontId="10" fillId="0" borderId="0" xfId="2" applyFont="1" applyAlignment="1">
      <alignment horizontal="center"/>
    </xf>
    <xf numFmtId="164" fontId="16" fillId="0" borderId="14" xfId="1" applyNumberFormat="1" applyFont="1" applyFill="1" applyBorder="1"/>
    <xf numFmtId="167" fontId="7" fillId="0" borderId="0" xfId="1" applyNumberFormat="1" applyFont="1"/>
    <xf numFmtId="164" fontId="7" fillId="0" borderId="0" xfId="1" applyNumberFormat="1" applyFont="1"/>
    <xf numFmtId="5" fontId="28" fillId="2" borderId="1" xfId="0" applyNumberFormat="1" applyFont="1" applyFill="1" applyBorder="1" applyAlignment="1">
      <alignment horizontal="center"/>
    </xf>
    <xf numFmtId="10" fontId="29" fillId="0" borderId="0" xfId="0" applyNumberFormat="1" applyFont="1"/>
    <xf numFmtId="0" fontId="7" fillId="0" borderId="0" xfId="0" applyFont="1" applyAlignment="1">
      <alignment horizontal="right"/>
    </xf>
    <xf numFmtId="167" fontId="29" fillId="0" borderId="0" xfId="1" applyNumberFormat="1" applyFont="1"/>
    <xf numFmtId="167" fontId="10" fillId="0" borderId="0" xfId="1" applyNumberFormat="1" applyFont="1"/>
    <xf numFmtId="9" fontId="7" fillId="0" borderId="0" xfId="0" applyNumberFormat="1" applyFont="1"/>
    <xf numFmtId="43" fontId="16" fillId="0" borderId="13" xfId="1" applyNumberFormat="1" applyFont="1" applyFill="1" applyBorder="1"/>
    <xf numFmtId="43" fontId="0" fillId="2" borderId="0" xfId="0" applyNumberFormat="1" applyFill="1"/>
    <xf numFmtId="166" fontId="16" fillId="0" borderId="14" xfId="0" applyNumberFormat="1" applyFont="1" applyBorder="1"/>
    <xf numFmtId="166" fontId="16" fillId="0" borderId="15" xfId="0" applyNumberFormat="1" applyFont="1" applyBorder="1"/>
    <xf numFmtId="43" fontId="7" fillId="0" borderId="0" xfId="0" applyNumberFormat="1" applyFont="1"/>
    <xf numFmtId="170" fontId="7" fillId="0" borderId="0" xfId="0" applyNumberFormat="1" applyFont="1" applyAlignment="1">
      <alignment horizontal="center"/>
    </xf>
    <xf numFmtId="0" fontId="30" fillId="0" borderId="0" xfId="0" applyFont="1"/>
    <xf numFmtId="167" fontId="30" fillId="0" borderId="0" xfId="0" applyNumberFormat="1" applyFont="1"/>
    <xf numFmtId="43" fontId="30" fillId="0" borderId="0" xfId="0" applyNumberFormat="1" applyFont="1"/>
    <xf numFmtId="9" fontId="30" fillId="0" borderId="0" xfId="2" applyFont="1"/>
    <xf numFmtId="0" fontId="17" fillId="0" borderId="16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5" fillId="5" borderId="5" xfId="0" applyFont="1" applyFill="1" applyBorder="1" applyAlignment="1">
      <alignment horizontal="center"/>
    </xf>
    <xf numFmtId="0" fontId="15" fillId="5" borderId="13" xfId="0" applyFont="1" applyFill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7" fillId="0" borderId="7" xfId="0" applyFont="1" applyBorder="1" applyAlignment="1">
      <alignment horizontal="center" textRotation="45" wrapText="1"/>
    </xf>
    <xf numFmtId="0" fontId="17" fillId="0" borderId="9" xfId="0" applyFont="1" applyBorder="1" applyAlignment="1">
      <alignment horizontal="center" textRotation="45" wrapText="1"/>
    </xf>
    <xf numFmtId="0" fontId="17" fillId="0" borderId="12" xfId="0" applyFont="1" applyBorder="1" applyAlignment="1">
      <alignment horizontal="center" textRotation="45" wrapText="1"/>
    </xf>
    <xf numFmtId="0" fontId="25" fillId="5" borderId="0" xfId="0" applyFont="1" applyFill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10" fillId="0" borderId="47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57">
    <cellStyle name="Comma" xfId="1" builtinId="3"/>
    <cellStyle name="Comma 3" xfId="3" xr:uid="{00000000-0005-0000-0000-000001000000}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  <cellStyle name="Normal 2" xfId="4" xr:uid="{00000000-0005-0000-0000-000038000000}"/>
    <cellStyle name="Percent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Original Crop</a:t>
            </a:r>
            <a:r>
              <a:rPr lang="en-GB" baseline="0"/>
              <a:t> Split by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E82-0349-86CB-6ACEDE95486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82-0349-86CB-6ACEDE95486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E82-0349-86CB-6ACEDE95486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E82-0349-86CB-6ACEDE95486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'Current Plantings'!$A$85:$A$88</c:f>
              <c:strCache>
                <c:ptCount val="4"/>
                <c:pt idx="0">
                  <c:v>Mango</c:v>
                </c:pt>
                <c:pt idx="1">
                  <c:v>Avocado</c:v>
                </c:pt>
                <c:pt idx="2">
                  <c:v>Lychee</c:v>
                </c:pt>
                <c:pt idx="3">
                  <c:v>Lemons</c:v>
                </c:pt>
              </c:strCache>
            </c:strRef>
          </c:cat>
          <c:val>
            <c:numRef>
              <c:f>'Current Plantings'!$C$85:$C$88</c:f>
              <c:numCache>
                <c:formatCode>_(* #,##0.0_);_(* \(#,##0.0\);_(* "-"??_);_(@_)</c:formatCode>
                <c:ptCount val="4"/>
                <c:pt idx="0">
                  <c:v>32.473985984285413</c:v>
                </c:pt>
                <c:pt idx="1">
                  <c:v>97.108864027538729</c:v>
                </c:pt>
                <c:pt idx="2">
                  <c:v>6.6265060240963853</c:v>
                </c:pt>
                <c:pt idx="3">
                  <c:v>9.615384615384615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8-4C4A-A309-45E004ED5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Proposed Crop</a:t>
            </a:r>
            <a:r>
              <a:rPr lang="en-GB" baseline="0"/>
              <a:t> Breakdown </a:t>
            </a:r>
            <a:r>
              <a:rPr lang="en-GB"/>
              <a:t> by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22-1343-805E-59FB5A7597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22-1343-805E-59FB5A7597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'Current Plantings'!$D$85:$D$86</c:f>
              <c:strCache>
                <c:ptCount val="2"/>
                <c:pt idx="0">
                  <c:v>Mango</c:v>
                </c:pt>
                <c:pt idx="1">
                  <c:v>Avocado</c:v>
                </c:pt>
              </c:strCache>
            </c:strRef>
          </c:cat>
          <c:val>
            <c:numRef>
              <c:f>'Current Plantings'!$E$85:$E$86</c:f>
              <c:numCache>
                <c:formatCode>_(* #,##0_);_(* \(#,##0\);_(* "-"?_);_(@_)</c:formatCode>
                <c:ptCount val="2"/>
                <c:pt idx="0">
                  <c:v>0</c:v>
                </c:pt>
                <c:pt idx="1">
                  <c:v>45841.542295421124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0F-A44D-9476-FCB208616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Proposed Variety Mix by Area\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7D-EF48-9667-332092BBB7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7D-EF48-9667-332092BBB7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'Current Plantings'!$G$85:$G$86</c:f>
              <c:strCache>
                <c:ptCount val="2"/>
                <c:pt idx="0">
                  <c:v>Shepherd</c:v>
                </c:pt>
                <c:pt idx="1">
                  <c:v>Hass</c:v>
                </c:pt>
              </c:strCache>
            </c:strRef>
          </c:cat>
          <c:val>
            <c:numRef>
              <c:f>'Current Plantings'!$H$85:$H$86</c:f>
              <c:numCache>
                <c:formatCode>_(* #,##0.00_);_(* \(#,##0.00\);_(* "-"??_);_(@_)</c:formatCode>
                <c:ptCount val="2"/>
                <c:pt idx="0" formatCode="_(* #,##0.0_);_(* \(#,##0.0\);_(* &quot;-&quot;??_);_(@_)">
                  <c:v>52.857142857142854</c:v>
                </c:pt>
                <c:pt idx="1">
                  <c:v>92.552762629327106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01-0E4C-8A8C-F2B5D5F7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90</xdr:row>
      <xdr:rowOff>31750</xdr:rowOff>
    </xdr:from>
    <xdr:to>
      <xdr:col>4</xdr:col>
      <xdr:colOff>1905000</xdr:colOff>
      <xdr:row>103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96760D-51C0-7940-9B80-CFDC9F8072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90</xdr:row>
      <xdr:rowOff>6350</xdr:rowOff>
    </xdr:from>
    <xdr:to>
      <xdr:col>8</xdr:col>
      <xdr:colOff>793750</xdr:colOff>
      <xdr:row>103</xdr:row>
      <xdr:rowOff>107950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1C7EFA-B159-0C4F-A2E7-7808522D8D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323850</xdr:colOff>
      <xdr:row>90</xdr:row>
      <xdr:rowOff>31750</xdr:rowOff>
    </xdr:from>
    <xdr:to>
      <xdr:col>14</xdr:col>
      <xdr:colOff>768350</xdr:colOff>
      <xdr:row>103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5154201-A3E7-E549-AF32-3751C8D0B0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9771A-6E4D-5D42-8635-7E14436B4B44}">
  <dimension ref="B1:P44"/>
  <sheetViews>
    <sheetView tabSelected="1" zoomScaleNormal="100" workbookViewId="0">
      <selection activeCell="B1" sqref="B1:L1"/>
    </sheetView>
  </sheetViews>
  <sheetFormatPr defaultColWidth="11" defaultRowHeight="15.75" x14ac:dyDescent="0.25"/>
  <cols>
    <col min="1" max="1" width="4" customWidth="1"/>
    <col min="2" max="2" width="25.625" customWidth="1"/>
    <col min="3" max="3" width="9.5" customWidth="1"/>
    <col min="4" max="4" width="6.625" customWidth="1"/>
    <col min="5" max="5" width="13.125" customWidth="1"/>
    <col min="6" max="6" width="14" bestFit="1" customWidth="1"/>
    <col min="7" max="8" width="13" bestFit="1" customWidth="1"/>
    <col min="9" max="10" width="11.5" bestFit="1" customWidth="1"/>
    <col min="12" max="12" width="11.5" bestFit="1" customWidth="1"/>
  </cols>
  <sheetData>
    <row r="1" spans="2:12" ht="16.5" thickBot="1" x14ac:dyDescent="0.3">
      <c r="B1" s="209" t="s">
        <v>183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3" spans="2:12" ht="16.5" thickBot="1" x14ac:dyDescent="0.3">
      <c r="B3" s="47" t="s">
        <v>65</v>
      </c>
      <c r="C3" s="48"/>
      <c r="E3" s="210" t="s">
        <v>66</v>
      </c>
      <c r="F3" s="211"/>
    </row>
    <row r="4" spans="2:12" x14ac:dyDescent="0.25">
      <c r="B4" s="49" t="s">
        <v>67</v>
      </c>
      <c r="C4" s="50">
        <v>0.02</v>
      </c>
      <c r="E4" s="51" t="s">
        <v>68</v>
      </c>
      <c r="F4" s="200">
        <f>'USD Summary with Tax'!D23</f>
        <v>0.12759927794988046</v>
      </c>
    </row>
    <row r="5" spans="2:12" x14ac:dyDescent="0.25">
      <c r="B5" s="51" t="s">
        <v>69</v>
      </c>
      <c r="C5" s="53">
        <v>0.05</v>
      </c>
      <c r="E5" s="54" t="s">
        <v>70</v>
      </c>
      <c r="F5" s="201">
        <f>'USD Summary with Tax'!G23</f>
        <v>0.10593117549456843</v>
      </c>
      <c r="H5" s="55"/>
    </row>
    <row r="6" spans="2:12" x14ac:dyDescent="0.25">
      <c r="B6" s="51" t="s">
        <v>71</v>
      </c>
      <c r="C6" s="52">
        <v>0.03</v>
      </c>
    </row>
    <row r="7" spans="2:12" ht="16.5" thickBot="1" x14ac:dyDescent="0.3">
      <c r="B7" s="51" t="s">
        <v>72</v>
      </c>
      <c r="C7" s="56">
        <v>0.76</v>
      </c>
      <c r="E7" s="212" t="s">
        <v>73</v>
      </c>
      <c r="F7" s="213"/>
      <c r="G7" s="213"/>
      <c r="H7" s="213"/>
      <c r="I7" s="213"/>
      <c r="J7" s="213"/>
      <c r="K7" s="214"/>
    </row>
    <row r="8" spans="2:12" x14ac:dyDescent="0.25">
      <c r="B8" s="51" t="s">
        <v>74</v>
      </c>
      <c r="C8" s="52">
        <v>1.4999999999999999E-2</v>
      </c>
      <c r="E8" s="57"/>
      <c r="F8" s="58"/>
      <c r="G8" s="215" t="s">
        <v>75</v>
      </c>
      <c r="H8" s="215"/>
      <c r="I8" s="215"/>
      <c r="J8" s="215"/>
      <c r="K8" s="216"/>
    </row>
    <row r="9" spans="2:12" x14ac:dyDescent="0.25">
      <c r="B9" s="51" t="s">
        <v>76</v>
      </c>
      <c r="C9" s="53">
        <v>0.06</v>
      </c>
      <c r="E9" s="217" t="s">
        <v>77</v>
      </c>
      <c r="F9" s="59"/>
      <c r="G9" s="60">
        <v>0</v>
      </c>
      <c r="H9" s="61">
        <v>0.02</v>
      </c>
      <c r="I9" s="60">
        <v>0.04</v>
      </c>
      <c r="J9" s="60">
        <v>0.06</v>
      </c>
      <c r="K9" s="62">
        <v>0.08</v>
      </c>
    </row>
    <row r="10" spans="2:12" x14ac:dyDescent="0.25">
      <c r="B10" s="51" t="s">
        <v>78</v>
      </c>
      <c r="C10" s="53">
        <v>0.2</v>
      </c>
      <c r="E10" s="218"/>
      <c r="F10" s="63">
        <v>0</v>
      </c>
      <c r="G10" s="64">
        <v>9.2999999999999999E-2</v>
      </c>
      <c r="H10" s="65">
        <v>0.10100000000000001</v>
      </c>
      <c r="I10" s="64">
        <v>0.111</v>
      </c>
      <c r="J10" s="64">
        <v>0.12</v>
      </c>
      <c r="K10" s="66">
        <v>0.13</v>
      </c>
    </row>
    <row r="11" spans="2:12" ht="16.5" thickBot="1" x14ac:dyDescent="0.3">
      <c r="B11" s="51" t="s">
        <v>1</v>
      </c>
      <c r="C11" s="53">
        <v>0.3</v>
      </c>
      <c r="E11" s="218"/>
      <c r="F11" s="63">
        <v>0.02</v>
      </c>
      <c r="G11" s="64">
        <v>0.10299999999999999</v>
      </c>
      <c r="H11" s="65">
        <v>0.111</v>
      </c>
      <c r="I11" s="64">
        <v>0.12</v>
      </c>
      <c r="J11" s="64">
        <v>0.129</v>
      </c>
      <c r="K11" s="66">
        <v>0.13800000000000001</v>
      </c>
    </row>
    <row r="12" spans="2:12" ht="16.5" thickBot="1" x14ac:dyDescent="0.3">
      <c r="B12" s="54" t="s">
        <v>79</v>
      </c>
      <c r="C12" s="67">
        <v>0.5</v>
      </c>
      <c r="E12" s="218"/>
      <c r="F12" s="68">
        <v>0.05</v>
      </c>
      <c r="G12" s="65">
        <v>0.12</v>
      </c>
      <c r="H12" s="69">
        <v>0.128</v>
      </c>
      <c r="I12" s="65">
        <v>0.13500000000000001</v>
      </c>
      <c r="J12" s="65">
        <v>0.14299999999999999</v>
      </c>
      <c r="K12" s="70">
        <v>0.152</v>
      </c>
    </row>
    <row r="13" spans="2:12" x14ac:dyDescent="0.25">
      <c r="E13" s="218"/>
      <c r="F13" s="63">
        <v>7.0000000000000007E-2</v>
      </c>
      <c r="G13" s="64">
        <v>0.13200000000000001</v>
      </c>
      <c r="H13" s="65">
        <v>0.13900000000000001</v>
      </c>
      <c r="I13" s="64">
        <v>0.14599999999999999</v>
      </c>
      <c r="J13" s="64">
        <v>0.154</v>
      </c>
      <c r="K13" s="66">
        <v>0.16200000000000001</v>
      </c>
    </row>
    <row r="14" spans="2:12" x14ac:dyDescent="0.25">
      <c r="B14" s="71" t="s">
        <v>153</v>
      </c>
      <c r="C14" s="198">
        <v>3.3</v>
      </c>
      <c r="E14" s="219"/>
      <c r="F14" s="72">
        <v>0.1</v>
      </c>
      <c r="G14" s="73">
        <v>0.151</v>
      </c>
      <c r="H14" s="74">
        <v>0.157</v>
      </c>
      <c r="I14" s="73">
        <v>0.16400000000000001</v>
      </c>
      <c r="J14" s="73">
        <v>0.17</v>
      </c>
      <c r="K14" s="75">
        <v>0.17799999999999999</v>
      </c>
    </row>
    <row r="15" spans="2:12" x14ac:dyDescent="0.25">
      <c r="B15" s="51" t="s">
        <v>80</v>
      </c>
      <c r="C15" s="189">
        <v>57</v>
      </c>
      <c r="E15" s="77" t="s">
        <v>81</v>
      </c>
    </row>
    <row r="16" spans="2:12" x14ac:dyDescent="0.25">
      <c r="B16" s="54" t="s">
        <v>152</v>
      </c>
      <c r="C16" s="76">
        <v>18</v>
      </c>
      <c r="E16" s="77" t="s">
        <v>82</v>
      </c>
    </row>
    <row r="18" spans="2:8" ht="16.5" thickBot="1" x14ac:dyDescent="0.3">
      <c r="B18" s="208" t="s">
        <v>83</v>
      </c>
      <c r="C18" s="208"/>
      <c r="D18" s="208"/>
      <c r="E18" s="208"/>
      <c r="F18" s="208"/>
    </row>
    <row r="19" spans="2:8" ht="16.5" thickTop="1" x14ac:dyDescent="0.25">
      <c r="B19" s="78"/>
      <c r="C19" s="78"/>
      <c r="D19" s="58"/>
    </row>
    <row r="20" spans="2:8" x14ac:dyDescent="0.25">
      <c r="B20" s="79" t="s">
        <v>84</v>
      </c>
      <c r="C20" s="80"/>
      <c r="D20" s="80"/>
      <c r="E20" s="81" t="s">
        <v>85</v>
      </c>
      <c r="F20" s="82" t="s">
        <v>86</v>
      </c>
    </row>
    <row r="21" spans="2:8" x14ac:dyDescent="0.25">
      <c r="B21" s="83" t="s">
        <v>87</v>
      </c>
      <c r="C21" s="78"/>
      <c r="D21" s="78"/>
      <c r="E21" s="84">
        <f>F21*C7</f>
        <v>11704000</v>
      </c>
      <c r="F21" s="85">
        <f>15400000</f>
        <v>15400000</v>
      </c>
      <c r="G21" s="45"/>
    </row>
    <row r="22" spans="2:8" x14ac:dyDescent="0.25">
      <c r="B22" s="78" t="s">
        <v>88</v>
      </c>
      <c r="C22" s="58"/>
      <c r="D22" s="86">
        <v>0.05</v>
      </c>
      <c r="E22" s="87">
        <f>F22*C7</f>
        <v>585200</v>
      </c>
      <c r="F22" s="88">
        <f>F21*D22</f>
        <v>770000</v>
      </c>
    </row>
    <row r="23" spans="2:8" x14ac:dyDescent="0.25">
      <c r="B23" s="78" t="s">
        <v>89</v>
      </c>
      <c r="C23" s="58"/>
      <c r="D23" s="89"/>
      <c r="E23" s="87">
        <f>F23*$C$7+5895</f>
        <v>181455</v>
      </c>
      <c r="F23" s="88">
        <f>F21*1.5%</f>
        <v>231000</v>
      </c>
    </row>
    <row r="24" spans="2:8" x14ac:dyDescent="0.25">
      <c r="B24" s="78" t="s">
        <v>90</v>
      </c>
      <c r="C24" s="58"/>
      <c r="D24" s="86">
        <v>0.04</v>
      </c>
      <c r="E24" s="87">
        <f>F24*$C$7</f>
        <v>609535.19999999995</v>
      </c>
      <c r="F24" s="88">
        <f>(SUM(F21:F23)+F27)*D24</f>
        <v>802020</v>
      </c>
    </row>
    <row r="25" spans="2:8" ht="16.5" thickBot="1" x14ac:dyDescent="0.3">
      <c r="B25" s="90" t="s">
        <v>91</v>
      </c>
      <c r="C25" s="90"/>
      <c r="D25" s="90"/>
      <c r="E25" s="91">
        <f>SUM(E21:E24)</f>
        <v>13080190.199999999</v>
      </c>
      <c r="F25" s="91">
        <f>SUM(F21:F24)</f>
        <v>17203020</v>
      </c>
    </row>
    <row r="26" spans="2:8" x14ac:dyDescent="0.25">
      <c r="B26" s="58"/>
      <c r="C26" s="58"/>
      <c r="D26" s="58"/>
      <c r="E26" s="58"/>
      <c r="F26" s="58"/>
    </row>
    <row r="27" spans="2:8" x14ac:dyDescent="0.25">
      <c r="B27" s="92" t="s">
        <v>180</v>
      </c>
      <c r="C27" s="93"/>
      <c r="D27" s="93"/>
      <c r="E27" s="94">
        <f>F27*C7</f>
        <v>2773620</v>
      </c>
      <c r="F27" s="94">
        <f>-SUM('AUD Operating Cashflow'!E10:H12)</f>
        <v>3649500</v>
      </c>
    </row>
    <row r="28" spans="2:8" ht="16.5" thickBot="1" x14ac:dyDescent="0.3">
      <c r="B28" s="95" t="s">
        <v>92</v>
      </c>
      <c r="C28" s="96"/>
      <c r="D28" s="96"/>
      <c r="E28" s="97">
        <f>E25+E27</f>
        <v>15853810.199999999</v>
      </c>
      <c r="F28" s="97">
        <f>F25+F27</f>
        <v>20852520</v>
      </c>
    </row>
    <row r="29" spans="2:8" ht="16.5" thickTop="1" x14ac:dyDescent="0.25">
      <c r="B29" s="58"/>
      <c r="C29" s="58"/>
      <c r="D29" s="58"/>
      <c r="E29" s="58"/>
      <c r="F29" s="58"/>
    </row>
    <row r="30" spans="2:8" x14ac:dyDescent="0.25">
      <c r="B30" s="98" t="s">
        <v>93</v>
      </c>
      <c r="C30" s="98"/>
      <c r="D30" s="98"/>
      <c r="E30" s="98"/>
      <c r="F30" s="98"/>
      <c r="H30" s="40"/>
    </row>
    <row r="31" spans="2:8" x14ac:dyDescent="0.25">
      <c r="B31" s="58" t="s">
        <v>94</v>
      </c>
      <c r="C31" s="58"/>
      <c r="D31" s="58"/>
      <c r="E31" s="99">
        <v>250000</v>
      </c>
      <c r="F31" s="100">
        <f>(F28-F33)*3%</f>
        <v>339833.1</v>
      </c>
    </row>
    <row r="32" spans="2:8" x14ac:dyDescent="0.25">
      <c r="B32" s="58" t="s">
        <v>95</v>
      </c>
      <c r="C32" s="58"/>
      <c r="D32" s="58"/>
      <c r="E32" s="99">
        <f>E28-E31-E33</f>
        <v>8365000.1999999993</v>
      </c>
      <c r="F32" s="99">
        <f>(F28-F33)*97%</f>
        <v>10987936.9</v>
      </c>
      <c r="G32" s="45"/>
    </row>
    <row r="33" spans="2:16" x14ac:dyDescent="0.25">
      <c r="B33" s="58" t="s">
        <v>96</v>
      </c>
      <c r="C33" s="58"/>
      <c r="D33" s="58"/>
      <c r="E33" s="99">
        <f>(E21+E27)*$C$12</f>
        <v>7238810</v>
      </c>
      <c r="F33" s="99">
        <f>(F21+F27)*$C$12</f>
        <v>9524750</v>
      </c>
      <c r="H33" s="45"/>
    </row>
    <row r="34" spans="2:16" ht="16.5" thickBot="1" x14ac:dyDescent="0.3">
      <c r="B34" s="101" t="s">
        <v>97</v>
      </c>
      <c r="C34" s="101"/>
      <c r="D34" s="101"/>
      <c r="E34" s="102">
        <f>SUM(E31:E33)</f>
        <v>15853810.199999999</v>
      </c>
      <c r="F34" s="102">
        <f>SUM(F31:F33)</f>
        <v>20852520</v>
      </c>
      <c r="G34" s="45"/>
    </row>
    <row r="35" spans="2:16" x14ac:dyDescent="0.25">
      <c r="B35" s="58"/>
      <c r="C35" s="58"/>
      <c r="D35" s="58"/>
      <c r="E35" s="58"/>
      <c r="F35" s="58"/>
      <c r="G35" s="176"/>
    </row>
    <row r="36" spans="2:16" x14ac:dyDescent="0.25">
      <c r="B36" s="98" t="s">
        <v>98</v>
      </c>
      <c r="C36" s="103"/>
      <c r="D36" s="103"/>
      <c r="E36" s="103"/>
      <c r="F36" s="103"/>
      <c r="G36" s="176"/>
    </row>
    <row r="37" spans="2:16" x14ac:dyDescent="0.25">
      <c r="B37" s="58" t="s">
        <v>99</v>
      </c>
      <c r="C37" s="58"/>
      <c r="D37" s="58"/>
      <c r="E37" s="99">
        <v>1500000</v>
      </c>
      <c r="F37" s="99">
        <f>E37/C7</f>
        <v>1973684.2105263157</v>
      </c>
      <c r="G37" s="45"/>
    </row>
    <row r="38" spans="2:16" x14ac:dyDescent="0.25">
      <c r="B38" s="58" t="s">
        <v>100</v>
      </c>
      <c r="C38" s="58"/>
      <c r="D38" s="58"/>
      <c r="E38" s="99">
        <v>30000</v>
      </c>
      <c r="F38" s="99">
        <f>E38/C7</f>
        <v>39473.684210526313</v>
      </c>
      <c r="I38" s="58"/>
      <c r="J38" s="58"/>
      <c r="K38" s="58"/>
      <c r="L38" s="58"/>
      <c r="M38" s="58"/>
      <c r="N38" s="58"/>
      <c r="O38" s="58"/>
      <c r="P38" s="58"/>
    </row>
    <row r="39" spans="2:16" x14ac:dyDescent="0.25">
      <c r="B39" s="104"/>
      <c r="C39" s="104"/>
      <c r="D39" s="104"/>
      <c r="E39" s="104"/>
      <c r="F39" s="104"/>
    </row>
    <row r="40" spans="2:16" x14ac:dyDescent="0.25">
      <c r="B40" s="105"/>
    </row>
    <row r="41" spans="2:16" x14ac:dyDescent="0.25">
      <c r="B41" s="105"/>
    </row>
    <row r="42" spans="2:16" x14ac:dyDescent="0.25">
      <c r="B42" s="105"/>
    </row>
    <row r="43" spans="2:16" x14ac:dyDescent="0.25">
      <c r="B43" s="105"/>
    </row>
    <row r="44" spans="2:16" x14ac:dyDescent="0.25">
      <c r="B44" s="105"/>
    </row>
  </sheetData>
  <mergeCells count="6">
    <mergeCell ref="B18:F18"/>
    <mergeCell ref="B1:L1"/>
    <mergeCell ref="E3:F3"/>
    <mergeCell ref="E7:K7"/>
    <mergeCell ref="G8:K8"/>
    <mergeCell ref="E9:E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BD020-26FE-8443-826C-BFC78465ECEE}">
  <dimension ref="A1:O36"/>
  <sheetViews>
    <sheetView topLeftCell="A22" zoomScaleNormal="100" workbookViewId="0">
      <selection activeCell="C36" sqref="C36"/>
    </sheetView>
  </sheetViews>
  <sheetFormatPr defaultColWidth="8.875" defaultRowHeight="15.75" x14ac:dyDescent="0.25"/>
  <cols>
    <col min="1" max="1" width="4.625" style="106" customWidth="1"/>
    <col min="2" max="2" width="40.625" customWidth="1"/>
    <col min="3" max="3" width="11.875" customWidth="1"/>
    <col min="4" max="4" width="11.875" style="108" customWidth="1"/>
    <col min="5" max="8" width="11.875" customWidth="1"/>
    <col min="9" max="13" width="11.625" customWidth="1"/>
    <col min="14" max="14" width="15.875" customWidth="1"/>
    <col min="15" max="15" width="13.625" bestFit="1" customWidth="1"/>
  </cols>
  <sheetData>
    <row r="1" spans="1:14" s="106" customFormat="1" x14ac:dyDescent="0.25">
      <c r="D1" s="107"/>
      <c r="M1" s="26"/>
    </row>
    <row r="2" spans="1:14" ht="18.75" x14ac:dyDescent="0.3">
      <c r="B2" s="220" t="s">
        <v>178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6"/>
    </row>
    <row r="3" spans="1:14" x14ac:dyDescent="0.25">
      <c r="M3" s="26"/>
    </row>
    <row r="4" spans="1:14" s="26" customFormat="1" x14ac:dyDescent="0.25">
      <c r="A4" s="109"/>
      <c r="B4" s="110" t="s">
        <v>13</v>
      </c>
      <c r="C4" s="111" t="s">
        <v>101</v>
      </c>
      <c r="D4" s="112" t="s">
        <v>102</v>
      </c>
      <c r="E4" s="111" t="s">
        <v>103</v>
      </c>
      <c r="F4" s="112" t="s">
        <v>104</v>
      </c>
      <c r="G4" s="111" t="s">
        <v>105</v>
      </c>
      <c r="H4" s="112" t="s">
        <v>106</v>
      </c>
      <c r="I4" s="111" t="s">
        <v>107</v>
      </c>
      <c r="J4" s="112" t="s">
        <v>108</v>
      </c>
      <c r="K4" s="111" t="s">
        <v>109</v>
      </c>
      <c r="L4" s="112" t="s">
        <v>110</v>
      </c>
    </row>
    <row r="5" spans="1:14" s="116" customFormat="1" x14ac:dyDescent="0.25">
      <c r="A5" s="113"/>
      <c r="B5" s="114" t="s">
        <v>67</v>
      </c>
      <c r="C5" s="115">
        <v>1</v>
      </c>
      <c r="D5" s="115">
        <f>C5*(100%+Summary!$C$4)</f>
        <v>1.02</v>
      </c>
      <c r="E5" s="115">
        <f>D5*(100%+Summary!$C$4)</f>
        <v>1.0404</v>
      </c>
      <c r="F5" s="115">
        <f>E5*(100%+Summary!$C$4)</f>
        <v>1.0612079999999999</v>
      </c>
      <c r="G5" s="115">
        <f>F5*(100%+Summary!$C$4)</f>
        <v>1.08243216</v>
      </c>
      <c r="H5" s="115">
        <f>G5*(100%+Summary!$C$4)</f>
        <v>1.1040808032</v>
      </c>
      <c r="I5" s="115">
        <f>H5*(100%+Summary!$C$4)</f>
        <v>1.1261624192640001</v>
      </c>
      <c r="J5" s="115">
        <f>I5*(100%+Summary!$C$4)</f>
        <v>1.14868566764928</v>
      </c>
      <c r="K5" s="115">
        <f>J5*(100%+Summary!$C$4)</f>
        <v>1.1716593810022657</v>
      </c>
      <c r="L5" s="115">
        <f>K5*(100%+Summary!$C$4)</f>
        <v>1.1950925686223111</v>
      </c>
      <c r="M5" s="26"/>
    </row>
    <row r="6" spans="1:14" s="116" customFormat="1" x14ac:dyDescent="0.25">
      <c r="A6" s="113"/>
      <c r="B6" s="117" t="s">
        <v>69</v>
      </c>
      <c r="C6" s="118">
        <v>1</v>
      </c>
      <c r="D6" s="118">
        <f>C6*(100%+Summary!$C$5)</f>
        <v>1.05</v>
      </c>
      <c r="E6" s="118">
        <f>D6*(100%+Summary!$C$5)</f>
        <v>1.1025</v>
      </c>
      <c r="F6" s="118">
        <f>E6*(100%+Summary!$C$5)</f>
        <v>1.1576250000000001</v>
      </c>
      <c r="G6" s="118">
        <f>F6*(100%+Summary!$C$5)</f>
        <v>1.2155062500000002</v>
      </c>
      <c r="H6" s="118">
        <f>G6*(100%+Summary!$C$5)</f>
        <v>1.2762815625000004</v>
      </c>
      <c r="I6" s="118">
        <f>H6*(100%+Summary!$C$5)</f>
        <v>1.3400956406250004</v>
      </c>
      <c r="J6" s="118">
        <f>I6*(100%+Summary!$C$5)</f>
        <v>1.4071004226562505</v>
      </c>
      <c r="K6" s="118">
        <f>J6*(100%+Summary!$C$5)</f>
        <v>1.477455443789063</v>
      </c>
      <c r="L6" s="118">
        <f>K6*(100%+Summary!$C$5)</f>
        <v>1.5513282159785162</v>
      </c>
      <c r="M6" s="26"/>
      <c r="N6" s="26"/>
    </row>
    <row r="7" spans="1:14" s="116" customFormat="1" x14ac:dyDescent="0.25">
      <c r="A7" s="113"/>
      <c r="D7" s="119"/>
      <c r="E7" s="119"/>
      <c r="F7" s="120"/>
      <c r="G7" s="120"/>
      <c r="H7" s="120"/>
      <c r="I7" s="120"/>
      <c r="J7" s="120"/>
      <c r="K7" s="120"/>
      <c r="L7" s="120"/>
      <c r="M7" s="26"/>
      <c r="N7" s="26"/>
    </row>
    <row r="8" spans="1:14" s="123" customFormat="1" x14ac:dyDescent="0.25">
      <c r="A8" s="121"/>
      <c r="B8" s="110" t="s">
        <v>111</v>
      </c>
      <c r="C8" s="122">
        <f>Summary!$E$21*'USD Summary with Tax'!C6</f>
        <v>11704000</v>
      </c>
      <c r="D8" s="122">
        <f>(Summary!$E$21+Summary!$E$27)*'USD Summary with Tax'!D6</f>
        <v>15201501</v>
      </c>
      <c r="E8" s="122">
        <f>(Summary!$E$21+Summary!$E$27)*'USD Summary with Tax'!E6</f>
        <v>15961576.050000001</v>
      </c>
      <c r="F8" s="122">
        <f>(Summary!$E$21+Summary!$E$27)*'USD Summary with Tax'!F6</f>
        <v>16759654.852500001</v>
      </c>
      <c r="G8" s="122">
        <f>(Summary!$E$21+Summary!$E$27)*'USD Summary with Tax'!G6</f>
        <v>17597637.595125005</v>
      </c>
      <c r="H8" s="122">
        <f>(Summary!$E$21+Summary!$E$27)*'USD Summary with Tax'!H6</f>
        <v>18477519.474881254</v>
      </c>
      <c r="I8" s="122">
        <f>(Summary!$E$21+Summary!$E$27)*'USD Summary with Tax'!I6</f>
        <v>19401395.448625319</v>
      </c>
      <c r="J8" s="122">
        <f>(Summary!$E$21+Summary!$E$27)*'USD Summary with Tax'!J6</f>
        <v>20371465.221056584</v>
      </c>
      <c r="K8" s="122">
        <f>(Summary!$E$21+Summary!$E$27)*'USD Summary with Tax'!K6</f>
        <v>21390038.482109416</v>
      </c>
      <c r="L8" s="122">
        <f>(Summary!$E$21+Summary!$E$27)*'USD Summary with Tax'!L6</f>
        <v>22459540.406214885</v>
      </c>
      <c r="M8" s="26"/>
      <c r="N8" s="26"/>
    </row>
    <row r="9" spans="1:14" s="26" customFormat="1" ht="16.5" thickBot="1" x14ac:dyDescent="0.3">
      <c r="A9" s="109"/>
      <c r="B9" s="124" t="s">
        <v>112</v>
      </c>
      <c r="C9" s="125" t="s">
        <v>101</v>
      </c>
      <c r="D9" s="126" t="s">
        <v>102</v>
      </c>
      <c r="E9" s="125" t="s">
        <v>103</v>
      </c>
      <c r="F9" s="126" t="s">
        <v>104</v>
      </c>
      <c r="G9" s="125" t="s">
        <v>105</v>
      </c>
      <c r="H9" s="127" t="s">
        <v>106</v>
      </c>
      <c r="I9" s="125" t="s">
        <v>107</v>
      </c>
      <c r="J9" s="126" t="s">
        <v>108</v>
      </c>
      <c r="K9" s="125" t="s">
        <v>109</v>
      </c>
      <c r="L9" s="126" t="s">
        <v>110</v>
      </c>
    </row>
    <row r="10" spans="1:14" x14ac:dyDescent="0.25">
      <c r="B10" s="128" t="s">
        <v>113</v>
      </c>
      <c r="C10" s="129">
        <f>'AUD Operating Cashflow'!E32*Summary!$C$7</f>
        <v>1333839.3847025994</v>
      </c>
      <c r="D10" s="129">
        <f>'AUD Operating Cashflow'!F32*Summary!$C$7</f>
        <v>1082165.863046471</v>
      </c>
      <c r="E10" s="129">
        <f>'AUD Operating Cashflow'!G32*Summary!$C$7</f>
        <v>954228.88444980024</v>
      </c>
      <c r="F10" s="129">
        <f>'AUD Operating Cashflow'!H32*Summary!$C$7</f>
        <v>1343923.6286708284</v>
      </c>
      <c r="G10" s="129">
        <f>'AUD Operating Cashflow'!I32*Summary!$C$7</f>
        <v>1749552.7343506515</v>
      </c>
      <c r="H10" s="129">
        <f>'AUD Operating Cashflow'!J32*Summary!$C$7</f>
        <v>2023838.7292646619</v>
      </c>
      <c r="I10" s="129">
        <f>'AUD Operating Cashflow'!K32*Summary!$C$7</f>
        <v>2190130.3693301296</v>
      </c>
      <c r="J10" s="129">
        <f>'AUD Operating Cashflow'!L32*Summary!$C$7</f>
        <v>2233932.9767167321</v>
      </c>
      <c r="K10" s="129">
        <f>'AUD Operating Cashflow'!M32*Summary!$C$7</f>
        <v>2278611.6362510668</v>
      </c>
      <c r="L10" s="129">
        <f>'AUD Operating Cashflow'!N32*Summary!$C$7</f>
        <v>2324183.8689760882</v>
      </c>
      <c r="M10" s="26"/>
      <c r="N10" s="26"/>
    </row>
    <row r="11" spans="1:14" x14ac:dyDescent="0.25">
      <c r="B11" s="130" t="s">
        <v>114</v>
      </c>
      <c r="C11" s="131">
        <f>-Summary!E28*Summary!C8</f>
        <v>-237807.15299999999</v>
      </c>
      <c r="D11" s="131">
        <f>C11</f>
        <v>-237807.15299999999</v>
      </c>
      <c r="E11" s="131">
        <f>D11</f>
        <v>-237807.15299999999</v>
      </c>
      <c r="F11" s="131">
        <f t="shared" ref="F11:L11" si="0">E11</f>
        <v>-237807.15299999999</v>
      </c>
      <c r="G11" s="131">
        <f t="shared" si="0"/>
        <v>-237807.15299999999</v>
      </c>
      <c r="H11" s="131">
        <f t="shared" si="0"/>
        <v>-237807.15299999999</v>
      </c>
      <c r="I11" s="131">
        <f t="shared" si="0"/>
        <v>-237807.15299999999</v>
      </c>
      <c r="J11" s="131">
        <f t="shared" si="0"/>
        <v>-237807.15299999999</v>
      </c>
      <c r="K11" s="131">
        <f t="shared" si="0"/>
        <v>-237807.15299999999</v>
      </c>
      <c r="L11" s="131">
        <f t="shared" si="0"/>
        <v>-237807.15299999999</v>
      </c>
      <c r="M11" s="26"/>
      <c r="N11" s="26"/>
    </row>
    <row r="12" spans="1:14" x14ac:dyDescent="0.25">
      <c r="B12" s="132" t="s">
        <v>115</v>
      </c>
      <c r="C12" s="133">
        <f>-Summary!E38</f>
        <v>-30000</v>
      </c>
      <c r="D12" s="133">
        <f>$C12*D5</f>
        <v>-30600</v>
      </c>
      <c r="E12" s="133">
        <f t="shared" ref="E12:L12" si="1">$C12*E5</f>
        <v>-31212</v>
      </c>
      <c r="F12" s="133">
        <f t="shared" si="1"/>
        <v>-31836.239999999998</v>
      </c>
      <c r="G12" s="133">
        <f t="shared" si="1"/>
        <v>-32472.964799999998</v>
      </c>
      <c r="H12" s="133">
        <f t="shared" si="1"/>
        <v>-33122.424096000002</v>
      </c>
      <c r="I12" s="133">
        <f t="shared" si="1"/>
        <v>-33784.872577920003</v>
      </c>
      <c r="J12" s="133">
        <f t="shared" si="1"/>
        <v>-34460.570029478404</v>
      </c>
      <c r="K12" s="133">
        <f t="shared" si="1"/>
        <v>-35149.781430067975</v>
      </c>
      <c r="L12" s="133">
        <f t="shared" si="1"/>
        <v>-35852.77705866933</v>
      </c>
      <c r="M12" s="26"/>
      <c r="N12" s="26"/>
    </row>
    <row r="13" spans="1:14" x14ac:dyDescent="0.25">
      <c r="B13" s="134" t="s">
        <v>116</v>
      </c>
      <c r="C13" s="135">
        <f>SUM(C10:C12)</f>
        <v>1066032.2317025994</v>
      </c>
      <c r="D13" s="135">
        <f t="shared" ref="D13:L13" si="2">SUM(D10:D12)</f>
        <v>813758.7100464711</v>
      </c>
      <c r="E13" s="135">
        <f t="shared" si="2"/>
        <v>685209.73144980031</v>
      </c>
      <c r="F13" s="135">
        <f t="shared" si="2"/>
        <v>1074280.2356708285</v>
      </c>
      <c r="G13" s="135">
        <f t="shared" si="2"/>
        <v>1479272.6165506516</v>
      </c>
      <c r="H13" s="135">
        <f t="shared" si="2"/>
        <v>1752909.1521686621</v>
      </c>
      <c r="I13" s="135">
        <f t="shared" si="2"/>
        <v>1918538.3437522096</v>
      </c>
      <c r="J13" s="135">
        <f t="shared" si="2"/>
        <v>1961665.2536872537</v>
      </c>
      <c r="K13" s="135">
        <f t="shared" si="2"/>
        <v>2005654.7018209989</v>
      </c>
      <c r="L13" s="135">
        <f t="shared" si="2"/>
        <v>2050523.9389174189</v>
      </c>
      <c r="M13" s="26"/>
      <c r="N13" s="26"/>
    </row>
    <row r="14" spans="1:14" x14ac:dyDescent="0.25">
      <c r="B14" s="130" t="s">
        <v>117</v>
      </c>
      <c r="C14" s="131">
        <f>-Summary!E33*Summary!C6</f>
        <v>-217164.3</v>
      </c>
      <c r="D14" s="131">
        <f t="shared" ref="D14:L14" si="3">C14</f>
        <v>-217164.3</v>
      </c>
      <c r="E14" s="131">
        <f t="shared" si="3"/>
        <v>-217164.3</v>
      </c>
      <c r="F14" s="131">
        <f t="shared" si="3"/>
        <v>-217164.3</v>
      </c>
      <c r="G14" s="131">
        <f t="shared" si="3"/>
        <v>-217164.3</v>
      </c>
      <c r="H14" s="131">
        <f t="shared" si="3"/>
        <v>-217164.3</v>
      </c>
      <c r="I14" s="131">
        <f t="shared" si="3"/>
        <v>-217164.3</v>
      </c>
      <c r="J14" s="131">
        <f t="shared" si="3"/>
        <v>-217164.3</v>
      </c>
      <c r="K14" s="131">
        <f t="shared" si="3"/>
        <v>-217164.3</v>
      </c>
      <c r="L14" s="131">
        <f t="shared" si="3"/>
        <v>-217164.3</v>
      </c>
      <c r="M14" s="26"/>
      <c r="N14" s="136"/>
    </row>
    <row r="15" spans="1:14" x14ac:dyDescent="0.25">
      <c r="B15" s="51" t="s">
        <v>118</v>
      </c>
      <c r="C15" s="137">
        <f>-Summary!E37+('AUD Operating Cashflow'!E10+'AUD Operating Cashflow'!E11+'AUD Operating Cashflow'!E12)*Summary!$C$7</f>
        <v>-2240620</v>
      </c>
      <c r="D15" s="137">
        <f>('AUD Operating Cashflow'!F10+'AUD Operating Cashflow'!F11+'AUD Operating Cashflow'!F12)*Summary!$C$7</f>
        <v>-2033000</v>
      </c>
      <c r="E15" s="137">
        <f>('AUD Operating Cashflow'!G10+'AUD Operating Cashflow'!G11+'AUD Operating Cashflow'!G12)*Summary!$C$7</f>
        <v>0</v>
      </c>
      <c r="F15" s="137">
        <f>('AUD Operating Cashflow'!H10+'AUD Operating Cashflow'!H11+'AUD Operating Cashflow'!H12)*Summary!$C$7</f>
        <v>0</v>
      </c>
      <c r="G15" s="137">
        <f>('AUD Operating Cashflow'!I10+'AUD Operating Cashflow'!I11+'AUD Operating Cashflow'!I12)*Summary!$C$7</f>
        <v>0</v>
      </c>
      <c r="H15" s="137"/>
      <c r="I15" s="137"/>
      <c r="J15" s="137"/>
      <c r="K15" s="137"/>
      <c r="L15" s="137"/>
      <c r="M15" s="26"/>
      <c r="N15" s="136"/>
    </row>
    <row r="16" spans="1:14" x14ac:dyDescent="0.25">
      <c r="B16" s="51" t="s">
        <v>119</v>
      </c>
      <c r="C16" s="137">
        <f>IF(C13+C14+C15&lt;0,(C13+C14+C15),0)</f>
        <v>-1391752.0682974006</v>
      </c>
      <c r="D16" s="137">
        <f>IF(C16+D13+D14+D15&lt;0,(D13+D14+D15+C16),0)</f>
        <v>-2828157.6582509298</v>
      </c>
      <c r="E16" s="137">
        <f>IF(D16+E13+E14+E15&lt;0,(E13+E14+E15+D16),0)</f>
        <v>-2360112.2268011295</v>
      </c>
      <c r="F16" s="137">
        <f>IF(E16+F13+F14+F15&lt;0,(F13+F14+F15+E16),0)</f>
        <v>-1502996.2911303011</v>
      </c>
      <c r="G16" s="137">
        <f t="shared" ref="G16:I16" si="4">IF(F16+G13+G14+G15&lt;0,(G13+G14+G15+F16),0)</f>
        <v>-240887.97457964951</v>
      </c>
      <c r="H16" s="137">
        <f t="shared" si="4"/>
        <v>0</v>
      </c>
      <c r="I16" s="137">
        <f t="shared" si="4"/>
        <v>0</v>
      </c>
      <c r="J16" s="137">
        <f t="shared" ref="J16" si="5">IF(I16+J13+J14+J15&lt;0,(J13+J14+J15+I16),0)</f>
        <v>0</v>
      </c>
      <c r="K16" s="137">
        <f t="shared" ref="K16" si="6">IF(J16+K13+K14+K15&lt;0,(K13+K14+K15+J16),0)</f>
        <v>0</v>
      </c>
      <c r="L16" s="137">
        <f t="shared" ref="L16" si="7">IF(K16+L13+L14+L15&lt;0,(L13+L14+L15+K16),0)</f>
        <v>0</v>
      </c>
      <c r="M16" s="26"/>
      <c r="N16" s="26"/>
    </row>
    <row r="17" spans="1:15" x14ac:dyDescent="0.25">
      <c r="B17" s="51" t="s">
        <v>120</v>
      </c>
      <c r="C17" s="137">
        <f>IF((C13+C14+C15)&lt;0,0,-(C13+C14+C15)*Summary!$C$11)</f>
        <v>0</v>
      </c>
      <c r="D17" s="137">
        <f>IF((D13+D14+D15+C16)&lt;0,0,-(D13+D14+D15+C16)*Summary!$C$11)</f>
        <v>0</v>
      </c>
      <c r="E17" s="137">
        <f>IF((E13+E14+E15+D16)&lt;0,0,-(E13+E14+E15+D16)*Summary!$C$11)</f>
        <v>0</v>
      </c>
      <c r="F17" s="137">
        <f>IF((F13+F14+F15+E16)&lt;0,0,-(F13+F14+F15+E16)*Summary!$C$11)</f>
        <v>0</v>
      </c>
      <c r="G17" s="137">
        <f>IF((G13+G14+G15+F16)&lt;0,0,-(G13+G14+G15+F16)*Summary!$C$11)</f>
        <v>0</v>
      </c>
      <c r="H17" s="137">
        <f>IF((H13+H14+H15+G16)&lt;0,0,-(H13+H14+H15+G16)*Summary!$C$11)</f>
        <v>-388457.06327670376</v>
      </c>
      <c r="I17" s="137">
        <f>IF((I13+I14+I15+H16)&lt;0,0,-(I13+I14+I15+H16)*Summary!$C$11)</f>
        <v>-510412.21312566282</v>
      </c>
      <c r="J17" s="137">
        <f>IF((J13+J14+J15+I16)&lt;0,0,-(J13+J14+J15+I16)*Summary!$C$11)</f>
        <v>-523350.28610617609</v>
      </c>
      <c r="K17" s="137">
        <f>IF((K13+K14+K15+J16)&lt;0,0,-(K13+K14+K15+J16)*Summary!$C$11)</f>
        <v>-536547.12054629961</v>
      </c>
      <c r="L17" s="137">
        <f>IF((L13+L14+L15+K16)&lt;0,0,-(L13+L14+L15+K16)*Summary!$C$11)</f>
        <v>-550007.89167522569</v>
      </c>
      <c r="M17" s="26"/>
      <c r="N17" s="26"/>
    </row>
    <row r="18" spans="1:15" s="141" customFormat="1" x14ac:dyDescent="0.25">
      <c r="A18" s="138"/>
      <c r="B18" s="139" t="s">
        <v>121</v>
      </c>
      <c r="C18" s="140">
        <f>C13+C14+C17</f>
        <v>848867.9317025994</v>
      </c>
      <c r="D18" s="140">
        <f t="shared" ref="D18:L18" si="8">D13+D14+D17</f>
        <v>596594.41004647105</v>
      </c>
      <c r="E18" s="140">
        <f t="shared" si="8"/>
        <v>468045.43144980032</v>
      </c>
      <c r="F18" s="140">
        <f t="shared" si="8"/>
        <v>857115.93567082845</v>
      </c>
      <c r="G18" s="140">
        <f t="shared" si="8"/>
        <v>1262108.3165506516</v>
      </c>
      <c r="H18" s="140">
        <f t="shared" si="8"/>
        <v>1147287.7888919583</v>
      </c>
      <c r="I18" s="140">
        <f t="shared" si="8"/>
        <v>1190961.8306265466</v>
      </c>
      <c r="J18" s="140">
        <f t="shared" si="8"/>
        <v>1221150.6675810777</v>
      </c>
      <c r="K18" s="140">
        <f t="shared" si="8"/>
        <v>1251943.2812746991</v>
      </c>
      <c r="L18" s="140">
        <f t="shared" si="8"/>
        <v>1283351.7472421932</v>
      </c>
      <c r="M18" s="26"/>
      <c r="N18" s="26"/>
    </row>
    <row r="19" spans="1:15" s="113" customFormat="1" x14ac:dyDescent="0.25">
      <c r="B19" s="113" t="s">
        <v>185</v>
      </c>
      <c r="C19" s="142">
        <f>C18/(Summary!$E$31+Summary!$E$32)</f>
        <v>9.8533710040145966E-2</v>
      </c>
      <c r="D19" s="142">
        <f>D18/(Summary!$E$31+Summary!$E$32)</f>
        <v>6.9250655391333724E-2</v>
      </c>
      <c r="E19" s="142">
        <f>E18/(Summary!$E$31+Summary!$E$32)</f>
        <v>5.4329126010908321E-2</v>
      </c>
      <c r="F19" s="142">
        <f>F18/(Summary!$E$31+Summary!$E$32)</f>
        <v>9.9491110362461568E-2</v>
      </c>
      <c r="G19" s="142">
        <f>G18/(Summary!$E$31+Summary!$E$32)</f>
        <v>0.14650125214746387</v>
      </c>
      <c r="H19" s="142">
        <f>H18/(Summary!$E$31+Summary!$E$32)</f>
        <v>0.13317327478320412</v>
      </c>
      <c r="I19" s="142">
        <f>I18/(Summary!$E$31+Summary!$E$32)</f>
        <v>0.13824280939965</v>
      </c>
      <c r="J19" s="142">
        <f>J18/(Summary!$E$31+Summary!$E$32)</f>
        <v>0.1417470271888186</v>
      </c>
      <c r="K19" s="142">
        <f>K18/(Summary!$E$31+Summary!$E$32)</f>
        <v>0.14532132933377057</v>
      </c>
      <c r="L19" s="142">
        <f>L18/(Summary!$E$31+Summary!$E$32)</f>
        <v>0.14896711752162156</v>
      </c>
      <c r="M19" s="26"/>
      <c r="N19" s="26"/>
      <c r="O19" s="143"/>
    </row>
    <row r="20" spans="1:15" s="113" customFormat="1" x14ac:dyDescent="0.25">
      <c r="B20" s="113" t="s">
        <v>122</v>
      </c>
      <c r="C20" s="142">
        <f>IF(C19&lt;Summary!$C$9,0,(C19-Summary!$C$9)*Summary!$C$10)</f>
        <v>7.7067420080291944E-3</v>
      </c>
      <c r="D20" s="142">
        <f>IF(D19&lt;Summary!$C$9,0,(D19-Summary!$C$9)*Summary!$C$10)</f>
        <v>1.8501310782667452E-3</v>
      </c>
      <c r="E20" s="142">
        <f>IF(E19&lt;Summary!$C$9,0,(E19-Summary!$C$9)*Summary!$C$10)</f>
        <v>0</v>
      </c>
      <c r="F20" s="142">
        <f>IF(F19&lt;Summary!$C$9,0,(F19-Summary!$C$9)*Summary!$C$10)</f>
        <v>7.8982220724923141E-3</v>
      </c>
      <c r="G20" s="142">
        <f>IF(G19&lt;Summary!$C$9,0,(G19-Summary!$C$9)*Summary!$C$10)</f>
        <v>1.7300250429492774E-2</v>
      </c>
      <c r="H20" s="142">
        <f>IF(H19&lt;Summary!$C$9,0,(H19-Summary!$C$9)*Summary!$C$10)</f>
        <v>1.4634654956640826E-2</v>
      </c>
      <c r="I20" s="142">
        <f>IF(I19&lt;Summary!$C$9,0,(I19-Summary!$C$9)*Summary!$C$10)</f>
        <v>1.5648561879930002E-2</v>
      </c>
      <c r="J20" s="142">
        <f>IF(J19&lt;Summary!$C$9,0,(J19-Summary!$C$9)*Summary!$C$10)</f>
        <v>1.6349405437763722E-2</v>
      </c>
      <c r="K20" s="142">
        <f>IF(K19&lt;Summary!$C$9,0,(K19-Summary!$C$9)*Summary!$C$10)</f>
        <v>1.7064265866754115E-2</v>
      </c>
      <c r="L20" s="142">
        <f>IF(L19&lt;Summary!$C$9,0,(L19-Summary!$C$9)*Summary!$C$10)</f>
        <v>1.7793423504324314E-2</v>
      </c>
      <c r="M20" s="26"/>
      <c r="N20" s="26"/>
      <c r="O20" s="143"/>
    </row>
    <row r="21" spans="1:15" s="113" customFormat="1" x14ac:dyDescent="0.25">
      <c r="B21" s="113" t="s">
        <v>123</v>
      </c>
      <c r="C21" s="142">
        <f>C19-C20</f>
        <v>9.0826968032116775E-2</v>
      </c>
      <c r="D21" s="142">
        <f t="shared" ref="D21:L21" si="9">D19-D20</f>
        <v>6.7400524313066978E-2</v>
      </c>
      <c r="E21" s="142">
        <f t="shared" si="9"/>
        <v>5.4329126010908321E-2</v>
      </c>
      <c r="F21" s="142">
        <f t="shared" si="9"/>
        <v>9.1592888289969254E-2</v>
      </c>
      <c r="G21" s="142">
        <f t="shared" si="9"/>
        <v>0.12920100171797111</v>
      </c>
      <c r="H21" s="142">
        <f t="shared" si="9"/>
        <v>0.1185386198265633</v>
      </c>
      <c r="I21" s="142">
        <f t="shared" si="9"/>
        <v>0.12259424751972001</v>
      </c>
      <c r="J21" s="142">
        <f t="shared" si="9"/>
        <v>0.12539762175105487</v>
      </c>
      <c r="K21" s="142">
        <f t="shared" si="9"/>
        <v>0.12825706346701646</v>
      </c>
      <c r="L21" s="142">
        <f t="shared" si="9"/>
        <v>0.13117369401729725</v>
      </c>
      <c r="M21" s="26"/>
      <c r="N21" s="26"/>
      <c r="O21" s="143"/>
    </row>
    <row r="22" spans="1:15" s="113" customFormat="1" ht="15" x14ac:dyDescent="0.25">
      <c r="B22" s="113" t="s">
        <v>124</v>
      </c>
      <c r="C22" s="144">
        <f t="shared" ref="C22:K22" si="10">C18*(C21/C19)</f>
        <v>782474.34776207944</v>
      </c>
      <c r="D22" s="144">
        <f t="shared" si="10"/>
        <v>580655.53043717681</v>
      </c>
      <c r="E22" s="144">
        <f t="shared" si="10"/>
        <v>468045.43144980032</v>
      </c>
      <c r="F22" s="144">
        <f t="shared" si="10"/>
        <v>789072.75093666278</v>
      </c>
      <c r="G22" s="144">
        <f t="shared" si="10"/>
        <v>1113066.6556405213</v>
      </c>
      <c r="H22" s="144">
        <f t="shared" si="10"/>
        <v>1021210.2335135667</v>
      </c>
      <c r="I22" s="144">
        <f t="shared" si="10"/>
        <v>1056149.4669012374</v>
      </c>
      <c r="J22" s="144">
        <f t="shared" si="10"/>
        <v>1080300.5364648621</v>
      </c>
      <c r="K22" s="144">
        <f t="shared" si="10"/>
        <v>1104934.6274197593</v>
      </c>
      <c r="L22" s="144">
        <f>(L18)*(L21/L19)</f>
        <v>1130061.4001937546</v>
      </c>
      <c r="M22" s="145"/>
      <c r="N22" s="145"/>
      <c r="O22" s="143"/>
    </row>
    <row r="23" spans="1:15" x14ac:dyDescent="0.25">
      <c r="B23" s="146" t="s">
        <v>125</v>
      </c>
      <c r="C23" s="147" t="s">
        <v>68</v>
      </c>
      <c r="D23" s="148">
        <f>IRR(C26:M26)</f>
        <v>0.12759927794988046</v>
      </c>
      <c r="E23" s="147"/>
      <c r="F23" s="147" t="s">
        <v>126</v>
      </c>
      <c r="G23" s="149">
        <f>AVERAGE(C21:L21)</f>
        <v>0.10593117549456843</v>
      </c>
      <c r="H23" s="147"/>
      <c r="I23" s="147"/>
      <c r="J23" s="147"/>
      <c r="K23" s="147"/>
      <c r="L23" s="147"/>
      <c r="M23" s="150"/>
    </row>
    <row r="24" spans="1:15" s="106" customFormat="1" x14ac:dyDescent="0.25">
      <c r="C24" s="107"/>
      <c r="E24" s="151"/>
      <c r="G24" s="151"/>
      <c r="H24" s="199"/>
      <c r="M24" s="152"/>
    </row>
    <row r="25" spans="1:15" s="155" customFormat="1" ht="15" x14ac:dyDescent="0.25">
      <c r="A25" s="153"/>
      <c r="B25" s="134" t="s">
        <v>127</v>
      </c>
      <c r="C25" s="154" t="s">
        <v>128</v>
      </c>
      <c r="D25" s="154" t="str">
        <f t="shared" ref="D25:M25" si="11">C4</f>
        <v>Year 1</v>
      </c>
      <c r="E25" s="154" t="str">
        <f t="shared" si="11"/>
        <v>Year 2</v>
      </c>
      <c r="F25" s="154" t="str">
        <f t="shared" si="11"/>
        <v>Year 3</v>
      </c>
      <c r="G25" s="154" t="str">
        <f t="shared" si="11"/>
        <v>Year 4</v>
      </c>
      <c r="H25" s="154" t="str">
        <f t="shared" si="11"/>
        <v>Year 5</v>
      </c>
      <c r="I25" s="154" t="str">
        <f t="shared" si="11"/>
        <v>Year 6</v>
      </c>
      <c r="J25" s="154" t="str">
        <f t="shared" si="11"/>
        <v>Year 7</v>
      </c>
      <c r="K25" s="154" t="str">
        <f t="shared" si="11"/>
        <v>Year 8</v>
      </c>
      <c r="L25" s="154" t="str">
        <f t="shared" si="11"/>
        <v>Year 9</v>
      </c>
      <c r="M25" s="154" t="str">
        <f t="shared" si="11"/>
        <v>Year 10</v>
      </c>
    </row>
    <row r="26" spans="1:15" s="157" customFormat="1" ht="15" x14ac:dyDescent="0.25">
      <c r="A26" s="156"/>
      <c r="B26" s="157" t="s">
        <v>129</v>
      </c>
      <c r="C26" s="158">
        <f>-(Summary!E31+Summary!E32)</f>
        <v>-8615000.1999999993</v>
      </c>
      <c r="D26" s="159">
        <f>C18*(C21/C19)</f>
        <v>782474.34776207944</v>
      </c>
      <c r="E26" s="159">
        <f t="shared" ref="E26:L26" si="12">D18*(D21/D19)</f>
        <v>580655.53043717681</v>
      </c>
      <c r="F26" s="159">
        <f t="shared" si="12"/>
        <v>468045.43144980032</v>
      </c>
      <c r="G26" s="159">
        <f t="shared" si="12"/>
        <v>789072.75093666278</v>
      </c>
      <c r="H26" s="159">
        <f t="shared" si="12"/>
        <v>1113066.6556405213</v>
      </c>
      <c r="I26" s="159">
        <f t="shared" si="12"/>
        <v>1021210.2335135667</v>
      </c>
      <c r="J26" s="159">
        <f t="shared" si="12"/>
        <v>1056149.4669012374</v>
      </c>
      <c r="K26" s="159">
        <f>J18*(J21/J19)</f>
        <v>1080300.5364648621</v>
      </c>
      <c r="L26" s="159">
        <f t="shared" si="12"/>
        <v>1104934.6274197593</v>
      </c>
      <c r="M26" s="159">
        <f>((L18)*(L21/L19))+C34-J32</f>
        <v>14284608.221174654</v>
      </c>
    </row>
    <row r="27" spans="1:15" s="116" customFormat="1" ht="15" x14ac:dyDescent="0.25">
      <c r="A27" s="113"/>
      <c r="C27" s="160"/>
      <c r="D27" s="161"/>
      <c r="E27" s="144"/>
      <c r="F27" s="144"/>
      <c r="G27" s="144"/>
      <c r="H27" s="144"/>
      <c r="I27" s="144"/>
      <c r="J27" s="144"/>
      <c r="K27" s="144"/>
      <c r="L27" s="144"/>
      <c r="M27" s="144"/>
      <c r="N27" s="144"/>
    </row>
    <row r="28" spans="1:15" s="165" customFormat="1" ht="15" x14ac:dyDescent="0.25">
      <c r="A28" s="162"/>
      <c r="B28" s="163" t="s">
        <v>130</v>
      </c>
      <c r="C28" s="164"/>
      <c r="F28" s="221" t="s">
        <v>131</v>
      </c>
      <c r="G28" s="222"/>
      <c r="H28" s="222"/>
      <c r="I28" s="223"/>
      <c r="J28" s="166" t="s">
        <v>110</v>
      </c>
    </row>
    <row r="29" spans="1:15" s="165" customFormat="1" ht="15" x14ac:dyDescent="0.25">
      <c r="A29" s="162"/>
      <c r="B29" s="167" t="s">
        <v>132</v>
      </c>
      <c r="C29" s="168">
        <f>L8</f>
        <v>22459540.406214885</v>
      </c>
      <c r="F29" s="51" t="s">
        <v>133</v>
      </c>
      <c r="J29" s="169">
        <f>Summary!E31+Summary!E32</f>
        <v>8615000.1999999993</v>
      </c>
    </row>
    <row r="30" spans="1:15" s="165" customFormat="1" ht="15" x14ac:dyDescent="0.25">
      <c r="A30" s="162"/>
      <c r="B30" s="167" t="s">
        <v>134</v>
      </c>
      <c r="C30" s="170">
        <f>-C29*2%</f>
        <v>-449190.80812429771</v>
      </c>
      <c r="F30" s="51" t="s">
        <v>135</v>
      </c>
      <c r="J30" s="169">
        <f>C34</f>
        <v>14289433.476226123</v>
      </c>
    </row>
    <row r="31" spans="1:15" s="165" customFormat="1" ht="15" x14ac:dyDescent="0.25">
      <c r="A31" s="162"/>
      <c r="B31" s="167" t="s">
        <v>136</v>
      </c>
      <c r="C31" s="171">
        <f>-Summary!E33</f>
        <v>-7238810</v>
      </c>
      <c r="F31" s="51" t="s">
        <v>137</v>
      </c>
      <c r="J31" s="169">
        <f>J30-J29</f>
        <v>5674433.2762261238</v>
      </c>
    </row>
    <row r="32" spans="1:15" s="165" customFormat="1" ht="15" x14ac:dyDescent="0.25">
      <c r="A32" s="162"/>
      <c r="B32" s="172" t="s">
        <v>138</v>
      </c>
      <c r="C32" s="173">
        <f>SUM(C29:C31)</f>
        <v>14771539.598090589</v>
      </c>
      <c r="D32" s="174"/>
      <c r="F32" s="51" t="s">
        <v>139</v>
      </c>
      <c r="J32" s="175">
        <f>J31*Summary!C10</f>
        <v>1134886.6552452247</v>
      </c>
    </row>
    <row r="33" spans="2:10" x14ac:dyDescent="0.25">
      <c r="B33" s="167" t="s">
        <v>140</v>
      </c>
      <c r="C33" s="171">
        <f>(C29-Summary!F28)*Summary!C11</f>
        <v>482106.12186446559</v>
      </c>
      <c r="D33" s="176"/>
      <c r="F33" s="177" t="s">
        <v>182</v>
      </c>
      <c r="G33" s="33"/>
      <c r="H33" s="33"/>
      <c r="I33" s="33"/>
      <c r="J33" s="178">
        <f>J31-J32</f>
        <v>4539546.6209808988</v>
      </c>
    </row>
    <row r="34" spans="2:10" x14ac:dyDescent="0.25">
      <c r="B34" s="179" t="s">
        <v>141</v>
      </c>
      <c r="C34" s="180">
        <f>C32-C33</f>
        <v>14289433.476226123</v>
      </c>
    </row>
    <row r="35" spans="2:10" x14ac:dyDescent="0.25">
      <c r="B35" s="181" t="s">
        <v>142</v>
      </c>
      <c r="C35" s="182"/>
    </row>
    <row r="36" spans="2:10" x14ac:dyDescent="0.25">
      <c r="B36" s="114"/>
    </row>
  </sheetData>
  <mergeCells count="2">
    <mergeCell ref="B2:L2"/>
    <mergeCell ref="F28:I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2"/>
  <sheetViews>
    <sheetView zoomScale="125" zoomScaleNormal="150" zoomScalePageLayoutView="150" workbookViewId="0"/>
  </sheetViews>
  <sheetFormatPr defaultColWidth="8.875" defaultRowHeight="12.75" x14ac:dyDescent="0.2"/>
  <cols>
    <col min="1" max="1" width="2.625" style="2" customWidth="1"/>
    <col min="2" max="2" width="10.875" style="2" bestFit="1" customWidth="1"/>
    <col min="3" max="3" width="2.625" style="2" customWidth="1"/>
    <col min="4" max="4" width="28.625" style="2" bestFit="1" customWidth="1"/>
    <col min="5" max="8" width="13.625" style="2" customWidth="1"/>
    <col min="9" max="9" width="20.125" style="2" bestFit="1" customWidth="1"/>
    <col min="10" max="10" width="13.625" style="2" bestFit="1" customWidth="1"/>
    <col min="11" max="16" width="14.625" style="2" customWidth="1"/>
    <col min="17" max="17" width="11" style="2" bestFit="1" customWidth="1"/>
    <col min="18" max="16384" width="8.875" style="2"/>
  </cols>
  <sheetData>
    <row r="2" spans="2:16" ht="15.75" x14ac:dyDescent="0.25">
      <c r="D2" s="3" t="s">
        <v>160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4" spans="2:16" x14ac:dyDescent="0.2">
      <c r="B4" s="5" t="s">
        <v>2</v>
      </c>
      <c r="D4" s="6" t="s">
        <v>12</v>
      </c>
      <c r="E4" s="224" t="s">
        <v>3</v>
      </c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</row>
    <row r="5" spans="2:16" x14ac:dyDescent="0.2">
      <c r="B5" s="5"/>
      <c r="D5" s="30" t="s">
        <v>67</v>
      </c>
      <c r="E5" s="186">
        <v>1</v>
      </c>
      <c r="F5" s="186">
        <f>E5*(100%+Summary!$C$4)</f>
        <v>1.02</v>
      </c>
      <c r="G5" s="186">
        <f>F5*(100%+Summary!$C$4)</f>
        <v>1.0404</v>
      </c>
      <c r="H5" s="186">
        <f>G5*(100%+Summary!$C$4)</f>
        <v>1.0612079999999999</v>
      </c>
      <c r="I5" s="186">
        <f>H5*(100%+Summary!$C$4)</f>
        <v>1.08243216</v>
      </c>
      <c r="J5" s="186">
        <f>I5*(100%+Summary!$C$4)</f>
        <v>1.1040808032</v>
      </c>
      <c r="K5" s="186">
        <f>J5*(100%+Summary!$C$4)</f>
        <v>1.1261624192640001</v>
      </c>
      <c r="L5" s="186">
        <f>K5*(100%+Summary!$C$4)</f>
        <v>1.14868566764928</v>
      </c>
      <c r="M5" s="186">
        <f>L5*(100%+Summary!$C$4)</f>
        <v>1.1716593810022657</v>
      </c>
      <c r="N5" s="186">
        <f>M5*(100%+Summary!$C$4)</f>
        <v>1.1950925686223111</v>
      </c>
      <c r="O5" s="186">
        <f>N5*(100%+Summary!$C$4)</f>
        <v>1.2189944199947573</v>
      </c>
      <c r="P5" s="186">
        <f>O5*(100%+Summary!$C$4)</f>
        <v>1.2433743083946525</v>
      </c>
    </row>
    <row r="7" spans="2:16" x14ac:dyDescent="0.2">
      <c r="D7" s="7">
        <f>E47</f>
        <v>154.10886402753874</v>
      </c>
      <c r="E7" s="8">
        <v>2022</v>
      </c>
      <c r="F7" s="9">
        <f>E7+1</f>
        <v>2023</v>
      </c>
      <c r="G7" s="9">
        <f t="shared" ref="G7:P7" si="0">F7+1</f>
        <v>2024</v>
      </c>
      <c r="H7" s="9">
        <f t="shared" si="0"/>
        <v>2025</v>
      </c>
      <c r="I7" s="9">
        <f t="shared" si="0"/>
        <v>2026</v>
      </c>
      <c r="J7" s="9">
        <f t="shared" si="0"/>
        <v>2027</v>
      </c>
      <c r="K7" s="10">
        <f t="shared" si="0"/>
        <v>2028</v>
      </c>
      <c r="L7" s="9">
        <f t="shared" si="0"/>
        <v>2029</v>
      </c>
      <c r="M7" s="9">
        <f t="shared" si="0"/>
        <v>2030</v>
      </c>
      <c r="N7" s="10">
        <f t="shared" si="0"/>
        <v>2031</v>
      </c>
      <c r="O7" s="9">
        <f t="shared" si="0"/>
        <v>2032</v>
      </c>
      <c r="P7" s="9">
        <f t="shared" si="0"/>
        <v>2033</v>
      </c>
    </row>
    <row r="8" spans="2:16" x14ac:dyDescent="0.2"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2:16" x14ac:dyDescent="0.2">
      <c r="B9" s="12" t="s">
        <v>4</v>
      </c>
      <c r="D9" s="11" t="s">
        <v>5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2:16" x14ac:dyDescent="0.2">
      <c r="B10" s="13">
        <v>43000</v>
      </c>
      <c r="D10" s="2" t="s">
        <v>6</v>
      </c>
      <c r="E10" s="14">
        <f>-B10*$E$43</f>
        <v>-301000</v>
      </c>
      <c r="F10" s="14">
        <f>-$B10*$E$44</f>
        <v>-2150000</v>
      </c>
      <c r="G10" s="14">
        <f>-$B10*$E$45</f>
        <v>0</v>
      </c>
      <c r="H10" s="14">
        <f>-$B10*$E$46</f>
        <v>0</v>
      </c>
      <c r="I10" s="14">
        <v>0</v>
      </c>
      <c r="J10" s="14">
        <f t="shared" ref="J10:P12" si="1">I10</f>
        <v>0</v>
      </c>
      <c r="K10" s="14">
        <f t="shared" si="1"/>
        <v>0</v>
      </c>
      <c r="L10" s="14">
        <f t="shared" si="1"/>
        <v>0</v>
      </c>
      <c r="M10" s="14">
        <f t="shared" si="1"/>
        <v>0</v>
      </c>
      <c r="N10" s="14">
        <f t="shared" si="1"/>
        <v>0</v>
      </c>
      <c r="O10" s="14">
        <f t="shared" si="1"/>
        <v>0</v>
      </c>
      <c r="P10" s="14">
        <f t="shared" si="1"/>
        <v>0</v>
      </c>
    </row>
    <row r="11" spans="2:16" x14ac:dyDescent="0.2">
      <c r="B11" s="13">
        <v>7000</v>
      </c>
      <c r="D11" s="2" t="s">
        <v>181</v>
      </c>
      <c r="E11" s="14">
        <f>-B11*$E$43-600000</f>
        <v>-649000</v>
      </c>
      <c r="F11" s="14">
        <f t="shared" ref="F11:F12" si="2">-$B11*$E$44</f>
        <v>-350000</v>
      </c>
      <c r="G11" s="14">
        <f t="shared" ref="G11:G12" si="3">-$B11*$E$45</f>
        <v>0</v>
      </c>
      <c r="H11" s="14">
        <f t="shared" ref="H11:H12" si="4">-$B11*$E$46</f>
        <v>0</v>
      </c>
      <c r="I11" s="14">
        <v>0</v>
      </c>
      <c r="J11" s="14">
        <f t="shared" si="1"/>
        <v>0</v>
      </c>
      <c r="K11" s="14">
        <f t="shared" si="1"/>
        <v>0</v>
      </c>
      <c r="L11" s="14">
        <f t="shared" si="1"/>
        <v>0</v>
      </c>
      <c r="M11" s="14">
        <f t="shared" si="1"/>
        <v>0</v>
      </c>
      <c r="N11" s="14">
        <f t="shared" si="1"/>
        <v>0</v>
      </c>
      <c r="O11" s="14">
        <f t="shared" si="1"/>
        <v>0</v>
      </c>
      <c r="P11" s="14">
        <f t="shared" si="1"/>
        <v>0</v>
      </c>
    </row>
    <row r="12" spans="2:16" x14ac:dyDescent="0.2">
      <c r="B12" s="13">
        <v>3500</v>
      </c>
      <c r="D12" s="2" t="s">
        <v>7</v>
      </c>
      <c r="E12" s="14">
        <f t="shared" ref="E12" si="5">-B12*$E$43</f>
        <v>-24500</v>
      </c>
      <c r="F12" s="14">
        <f t="shared" si="2"/>
        <v>-175000</v>
      </c>
      <c r="G12" s="14">
        <f t="shared" si="3"/>
        <v>0</v>
      </c>
      <c r="H12" s="14">
        <f t="shared" si="4"/>
        <v>0</v>
      </c>
      <c r="I12" s="14">
        <v>0</v>
      </c>
      <c r="J12" s="14">
        <f t="shared" si="1"/>
        <v>0</v>
      </c>
      <c r="K12" s="14">
        <f t="shared" si="1"/>
        <v>0</v>
      </c>
      <c r="L12" s="14">
        <f t="shared" si="1"/>
        <v>0</v>
      </c>
      <c r="M12" s="14">
        <f t="shared" si="1"/>
        <v>0</v>
      </c>
      <c r="N12" s="14">
        <f t="shared" si="1"/>
        <v>0</v>
      </c>
      <c r="O12" s="14">
        <f t="shared" si="1"/>
        <v>0</v>
      </c>
      <c r="P12" s="14">
        <f t="shared" si="1"/>
        <v>0</v>
      </c>
    </row>
    <row r="13" spans="2:16" x14ac:dyDescent="0.2">
      <c r="D13" s="11" t="s">
        <v>159</v>
      </c>
      <c r="E13" s="15">
        <f t="shared" ref="E13:P13" si="6">SUM(E10:E12)</f>
        <v>-974500</v>
      </c>
      <c r="F13" s="15">
        <f t="shared" si="6"/>
        <v>-2675000</v>
      </c>
      <c r="G13" s="15">
        <f t="shared" si="6"/>
        <v>0</v>
      </c>
      <c r="H13" s="15">
        <f t="shared" si="6"/>
        <v>0</v>
      </c>
      <c r="I13" s="15">
        <f t="shared" si="6"/>
        <v>0</v>
      </c>
      <c r="J13" s="15">
        <f t="shared" si="6"/>
        <v>0</v>
      </c>
      <c r="K13" s="15">
        <f t="shared" si="6"/>
        <v>0</v>
      </c>
      <c r="L13" s="15">
        <f t="shared" si="6"/>
        <v>0</v>
      </c>
      <c r="M13" s="15">
        <f t="shared" si="6"/>
        <v>0</v>
      </c>
      <c r="N13" s="15">
        <f t="shared" si="6"/>
        <v>0</v>
      </c>
      <c r="O13" s="15">
        <f t="shared" si="6"/>
        <v>0</v>
      </c>
      <c r="P13" s="15">
        <f t="shared" si="6"/>
        <v>0</v>
      </c>
    </row>
    <row r="14" spans="2:16" x14ac:dyDescent="0.2"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2:16" x14ac:dyDescent="0.2">
      <c r="B15" s="17" t="s">
        <v>8</v>
      </c>
      <c r="D15" s="11" t="s">
        <v>9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2:16" x14ac:dyDescent="0.2">
      <c r="E16" s="194" t="s">
        <v>176</v>
      </c>
      <c r="F16" s="190">
        <v>17</v>
      </c>
      <c r="G16" s="190">
        <f>F16</f>
        <v>17</v>
      </c>
      <c r="H16" s="190">
        <f t="shared" ref="H16:P16" si="7">G16</f>
        <v>17</v>
      </c>
      <c r="I16" s="190">
        <f t="shared" si="7"/>
        <v>17</v>
      </c>
      <c r="J16" s="190">
        <f t="shared" si="7"/>
        <v>17</v>
      </c>
      <c r="K16" s="190">
        <f t="shared" si="7"/>
        <v>17</v>
      </c>
      <c r="L16" s="190">
        <f t="shared" si="7"/>
        <v>17</v>
      </c>
      <c r="M16" s="190">
        <f t="shared" si="7"/>
        <v>17</v>
      </c>
      <c r="N16" s="190">
        <f t="shared" si="7"/>
        <v>17</v>
      </c>
      <c r="O16" s="190">
        <f t="shared" si="7"/>
        <v>17</v>
      </c>
      <c r="P16" s="190">
        <f t="shared" si="7"/>
        <v>17</v>
      </c>
    </row>
    <row r="17" spans="1:16" x14ac:dyDescent="0.2">
      <c r="B17" s="17"/>
      <c r="D17" s="11"/>
      <c r="E17" s="194" t="s">
        <v>177</v>
      </c>
      <c r="F17" s="195">
        <v>2.875</v>
      </c>
      <c r="G17" s="195">
        <f>H17*60%</f>
        <v>7.7759999999999998</v>
      </c>
      <c r="H17" s="195">
        <f>I17*80%</f>
        <v>12.96</v>
      </c>
      <c r="I17" s="195">
        <f>J17*90%</f>
        <v>16.2</v>
      </c>
      <c r="J17" s="195">
        <f>K17</f>
        <v>18</v>
      </c>
      <c r="K17" s="195">
        <f>Summary!C16</f>
        <v>18</v>
      </c>
      <c r="L17" s="196">
        <f>K17</f>
        <v>18</v>
      </c>
      <c r="M17" s="196">
        <f>L17</f>
        <v>18</v>
      </c>
      <c r="N17" s="196">
        <f t="shared" ref="N17:P17" si="8">M17</f>
        <v>18</v>
      </c>
      <c r="O17" s="196">
        <f t="shared" si="8"/>
        <v>18</v>
      </c>
      <c r="P17" s="196">
        <f t="shared" si="8"/>
        <v>18</v>
      </c>
    </row>
    <row r="18" spans="1:16" x14ac:dyDescent="0.2">
      <c r="B18" s="188"/>
      <c r="E18" s="187"/>
      <c r="F18" s="18"/>
      <c r="G18" s="18"/>
      <c r="H18" s="18"/>
      <c r="I18" s="18"/>
      <c r="J18" s="18"/>
      <c r="K18" s="18"/>
      <c r="L18" s="18"/>
      <c r="M18" s="18"/>
      <c r="N18" s="18"/>
      <c r="O18" s="187"/>
      <c r="P18" s="18"/>
    </row>
    <row r="19" spans="1:16" s="25" customFormat="1" x14ac:dyDescent="0.2">
      <c r="B19" s="192">
        <f>F16*Summary!C14*1000</f>
        <v>56099.999999999993</v>
      </c>
      <c r="D19" s="25" t="s">
        <v>168</v>
      </c>
      <c r="E19" s="27">
        <f>$E$42*$F$16*Summary!$C$14*1000</f>
        <v>5447807.2719449215</v>
      </c>
      <c r="F19" s="27">
        <f>E19</f>
        <v>5447807.2719449215</v>
      </c>
      <c r="G19" s="27">
        <f t="shared" ref="G19:P19" si="9">F19</f>
        <v>5447807.2719449215</v>
      </c>
      <c r="H19" s="27">
        <f t="shared" si="9"/>
        <v>5447807.2719449215</v>
      </c>
      <c r="I19" s="27">
        <f t="shared" si="9"/>
        <v>5447807.2719449215</v>
      </c>
      <c r="J19" s="27">
        <f t="shared" si="9"/>
        <v>5447807.2719449215</v>
      </c>
      <c r="K19" s="27">
        <f t="shared" si="9"/>
        <v>5447807.2719449215</v>
      </c>
      <c r="L19" s="27">
        <f t="shared" si="9"/>
        <v>5447807.2719449215</v>
      </c>
      <c r="M19" s="27">
        <f t="shared" si="9"/>
        <v>5447807.2719449215</v>
      </c>
      <c r="N19" s="27">
        <f t="shared" si="9"/>
        <v>5447807.2719449215</v>
      </c>
      <c r="O19" s="27">
        <f t="shared" si="9"/>
        <v>5447807.2719449215</v>
      </c>
      <c r="P19" s="27">
        <f t="shared" si="9"/>
        <v>5447807.2719449215</v>
      </c>
    </row>
    <row r="20" spans="1:16" s="25" customFormat="1" x14ac:dyDescent="0.2">
      <c r="A20" s="28">
        <v>0.16</v>
      </c>
      <c r="B20" s="192">
        <v>-7200</v>
      </c>
      <c r="D20" s="25" t="s">
        <v>169</v>
      </c>
      <c r="E20" s="27">
        <f>B20*E42</f>
        <v>-699183.8209982788</v>
      </c>
      <c r="F20" s="27">
        <f>E20</f>
        <v>-699183.8209982788</v>
      </c>
      <c r="G20" s="27">
        <f t="shared" ref="G20:P20" si="10">F20</f>
        <v>-699183.8209982788</v>
      </c>
      <c r="H20" s="27">
        <f t="shared" si="10"/>
        <v>-699183.8209982788</v>
      </c>
      <c r="I20" s="27">
        <f t="shared" si="10"/>
        <v>-699183.8209982788</v>
      </c>
      <c r="J20" s="27">
        <f t="shared" si="10"/>
        <v>-699183.8209982788</v>
      </c>
      <c r="K20" s="27">
        <f t="shared" si="10"/>
        <v>-699183.8209982788</v>
      </c>
      <c r="L20" s="27">
        <f t="shared" si="10"/>
        <v>-699183.8209982788</v>
      </c>
      <c r="M20" s="27">
        <f t="shared" si="10"/>
        <v>-699183.8209982788</v>
      </c>
      <c r="N20" s="27">
        <f t="shared" si="10"/>
        <v>-699183.8209982788</v>
      </c>
      <c r="O20" s="27">
        <f t="shared" si="10"/>
        <v>-699183.8209982788</v>
      </c>
      <c r="P20" s="27">
        <f t="shared" si="10"/>
        <v>-699183.8209982788</v>
      </c>
    </row>
    <row r="21" spans="1:16" s="25" customFormat="1" x14ac:dyDescent="0.2">
      <c r="A21" s="28">
        <v>0.2</v>
      </c>
      <c r="B21" s="192">
        <v>-9000</v>
      </c>
      <c r="D21" s="25" t="s">
        <v>170</v>
      </c>
      <c r="E21" s="27">
        <f>B21*E42</f>
        <v>-873979.77624784852</v>
      </c>
      <c r="F21" s="27">
        <f>E21</f>
        <v>-873979.77624784852</v>
      </c>
      <c r="G21" s="27">
        <f t="shared" ref="G21:P21" si="11">F21</f>
        <v>-873979.77624784852</v>
      </c>
      <c r="H21" s="27">
        <f t="shared" si="11"/>
        <v>-873979.77624784852</v>
      </c>
      <c r="I21" s="27">
        <f t="shared" si="11"/>
        <v>-873979.77624784852</v>
      </c>
      <c r="J21" s="27">
        <f t="shared" si="11"/>
        <v>-873979.77624784852</v>
      </c>
      <c r="K21" s="27">
        <f t="shared" si="11"/>
        <v>-873979.77624784852</v>
      </c>
      <c r="L21" s="27">
        <f t="shared" si="11"/>
        <v>-873979.77624784852</v>
      </c>
      <c r="M21" s="27">
        <f t="shared" si="11"/>
        <v>-873979.77624784852</v>
      </c>
      <c r="N21" s="27">
        <f t="shared" si="11"/>
        <v>-873979.77624784852</v>
      </c>
      <c r="O21" s="27">
        <f t="shared" si="11"/>
        <v>-873979.77624784852</v>
      </c>
      <c r="P21" s="27">
        <f t="shared" si="11"/>
        <v>-873979.77624784852</v>
      </c>
    </row>
    <row r="22" spans="1:16" s="25" customFormat="1" x14ac:dyDescent="0.2">
      <c r="A22" s="25" t="s">
        <v>179</v>
      </c>
      <c r="B22" s="192">
        <f>-F16*1*1000</f>
        <v>-17000</v>
      </c>
      <c r="D22" s="25" t="s">
        <v>171</v>
      </c>
      <c r="E22" s="27">
        <f>B22*E42</f>
        <v>-1650850.6884681585</v>
      </c>
      <c r="F22" s="27">
        <f>E22</f>
        <v>-1650850.6884681585</v>
      </c>
      <c r="G22" s="27">
        <f t="shared" ref="G22:P22" si="12">F22</f>
        <v>-1650850.6884681585</v>
      </c>
      <c r="H22" s="27">
        <f t="shared" si="12"/>
        <v>-1650850.6884681585</v>
      </c>
      <c r="I22" s="27">
        <f t="shared" si="12"/>
        <v>-1650850.6884681585</v>
      </c>
      <c r="J22" s="27">
        <f t="shared" si="12"/>
        <v>-1650850.6884681585</v>
      </c>
      <c r="K22" s="27">
        <f t="shared" si="12"/>
        <v>-1650850.6884681585</v>
      </c>
      <c r="L22" s="27">
        <f t="shared" si="12"/>
        <v>-1650850.6884681585</v>
      </c>
      <c r="M22" s="27">
        <f t="shared" si="12"/>
        <v>-1650850.6884681585</v>
      </c>
      <c r="N22" s="27">
        <f t="shared" si="12"/>
        <v>-1650850.6884681585</v>
      </c>
      <c r="O22" s="27">
        <f t="shared" si="12"/>
        <v>-1650850.6884681585</v>
      </c>
      <c r="P22" s="27">
        <f t="shared" si="12"/>
        <v>-1650850.6884681585</v>
      </c>
    </row>
    <row r="23" spans="1:16" x14ac:dyDescent="0.2">
      <c r="B23" s="13">
        <f>Summary!C14*Summary!C16*1000</f>
        <v>59400</v>
      </c>
      <c r="D23" s="2" t="s">
        <v>172</v>
      </c>
      <c r="E23" s="14">
        <v>0</v>
      </c>
      <c r="F23" s="14">
        <f>(F17/$K$17)*$E$43*$B$23</f>
        <v>66412.499999999985</v>
      </c>
      <c r="G23" s="14">
        <f>(G17/$K$17)*$E$43*$B$23+(F17/$K$17)*$E$44*$B$23</f>
        <v>654000.6</v>
      </c>
      <c r="H23" s="14">
        <f>(H17/$K$17)*$E$43*$B$23+(G17/$K$17)*$E$44*$B$23+(F17/$K$17)*$E$45*$B$23</f>
        <v>1582416</v>
      </c>
      <c r="I23" s="14">
        <f>(I17/$K$17)*$E$43*$B$23+(H17/$K$17)*$E$44*$B$23+(G17/$K$17)*$E$45*$B$23+(F17/$K$17)*$E$46*$B$23</f>
        <v>2512620.0000000005</v>
      </c>
      <c r="J23" s="14">
        <f>(J17/$K$17)*$E$43*$B$23+(I17/$K$17)*$E$44*$B$23+(H17/$K$17)*$E$45*$B$23+(G17/$K$17)*$E$46*$B$23</f>
        <v>3088799.9999999995</v>
      </c>
      <c r="K23" s="14">
        <f t="shared" ref="K23:P23" si="13">(K17/$K$17)*$E$43*$B$23+(J17/$K$17)*$E$44*$B$23+(I17/$K$17)*$E$45*$B$23+(H17/$K$17)*$E$46*$B$23</f>
        <v>3385800</v>
      </c>
      <c r="L23" s="14">
        <f t="shared" si="13"/>
        <v>3385800</v>
      </c>
      <c r="M23" s="14">
        <f t="shared" si="13"/>
        <v>3385800</v>
      </c>
      <c r="N23" s="14">
        <f t="shared" si="13"/>
        <v>3385800</v>
      </c>
      <c r="O23" s="14">
        <f t="shared" si="13"/>
        <v>3385800</v>
      </c>
      <c r="P23" s="14">
        <f t="shared" si="13"/>
        <v>3385800</v>
      </c>
    </row>
    <row r="24" spans="1:16" x14ac:dyDescent="0.2">
      <c r="A24" s="197">
        <v>0.16</v>
      </c>
      <c r="B24" s="13">
        <v>-9600</v>
      </c>
      <c r="D24" s="2" t="s">
        <v>173</v>
      </c>
      <c r="E24" s="14">
        <f>E23*($B$24/$B$23)</f>
        <v>0</v>
      </c>
      <c r="F24" s="14">
        <f>$B$24*$E$43</f>
        <v>-67200</v>
      </c>
      <c r="G24" s="14">
        <f>$B$24*($E$43+$E$44)</f>
        <v>-547200</v>
      </c>
      <c r="H24" s="14">
        <f>$B$24*($E$43+$E$44+$E$45)</f>
        <v>-547200</v>
      </c>
      <c r="I24" s="14">
        <f>$B$24*($E$43+$E$44+$E$45+$E$46)</f>
        <v>-547200</v>
      </c>
      <c r="J24" s="14">
        <f t="shared" ref="J24:P24" si="14">$B$24*($E$43+$E$44+$E$45+$E$46)</f>
        <v>-547200</v>
      </c>
      <c r="K24" s="14">
        <f t="shared" si="14"/>
        <v>-547200</v>
      </c>
      <c r="L24" s="14">
        <f t="shared" si="14"/>
        <v>-547200</v>
      </c>
      <c r="M24" s="14">
        <f t="shared" si="14"/>
        <v>-547200</v>
      </c>
      <c r="N24" s="14">
        <f t="shared" si="14"/>
        <v>-547200</v>
      </c>
      <c r="O24" s="14">
        <f t="shared" si="14"/>
        <v>-547200</v>
      </c>
      <c r="P24" s="14">
        <f t="shared" si="14"/>
        <v>-547200</v>
      </c>
    </row>
    <row r="25" spans="1:16" x14ac:dyDescent="0.2">
      <c r="A25" s="197">
        <v>0.2</v>
      </c>
      <c r="B25" s="13">
        <v>-12000</v>
      </c>
      <c r="D25" s="2" t="s">
        <v>174</v>
      </c>
      <c r="E25" s="14">
        <f>E23*($B$25/$B$23)</f>
        <v>0</v>
      </c>
      <c r="F25" s="14">
        <f t="shared" ref="F25:P25" si="15">F23*($B$25/$B$23)</f>
        <v>-13416.666666666664</v>
      </c>
      <c r="G25" s="14">
        <f t="shared" si="15"/>
        <v>-132121.33333333331</v>
      </c>
      <c r="H25" s="14">
        <f t="shared" si="15"/>
        <v>-319680</v>
      </c>
      <c r="I25" s="14">
        <f t="shared" si="15"/>
        <v>-507600.00000000006</v>
      </c>
      <c r="J25" s="14">
        <f t="shared" si="15"/>
        <v>-623999.99999999988</v>
      </c>
      <c r="K25" s="14">
        <f t="shared" si="15"/>
        <v>-684000</v>
      </c>
      <c r="L25" s="14">
        <f t="shared" si="15"/>
        <v>-684000</v>
      </c>
      <c r="M25" s="14">
        <f t="shared" si="15"/>
        <v>-684000</v>
      </c>
      <c r="N25" s="14">
        <f t="shared" si="15"/>
        <v>-684000</v>
      </c>
      <c r="O25" s="14">
        <f t="shared" si="15"/>
        <v>-684000</v>
      </c>
      <c r="P25" s="14">
        <f t="shared" si="15"/>
        <v>-684000</v>
      </c>
    </row>
    <row r="26" spans="1:16" x14ac:dyDescent="0.2">
      <c r="A26" s="2" t="s">
        <v>179</v>
      </c>
      <c r="B26" s="13">
        <f>-Summary!C16*1*1000</f>
        <v>-18000</v>
      </c>
      <c r="D26" s="2" t="s">
        <v>175</v>
      </c>
      <c r="E26" s="14">
        <f>E23*($B$26/$B$23)</f>
        <v>0</v>
      </c>
      <c r="F26" s="14">
        <f t="shared" ref="F26:P26" si="16">F23*($B$26/$B$23)</f>
        <v>-20124.999999999996</v>
      </c>
      <c r="G26" s="14">
        <f t="shared" si="16"/>
        <v>-198182</v>
      </c>
      <c r="H26" s="14">
        <f>H23*($B$26/$B$23)</f>
        <v>-479520</v>
      </c>
      <c r="I26" s="14">
        <f t="shared" si="16"/>
        <v>-761400.00000000012</v>
      </c>
      <c r="J26" s="14">
        <f t="shared" si="16"/>
        <v>-935999.99999999988</v>
      </c>
      <c r="K26" s="14">
        <f t="shared" si="16"/>
        <v>-1026000</v>
      </c>
      <c r="L26" s="14">
        <f t="shared" si="16"/>
        <v>-1026000</v>
      </c>
      <c r="M26" s="14">
        <f t="shared" si="16"/>
        <v>-1026000</v>
      </c>
      <c r="N26" s="14">
        <f t="shared" si="16"/>
        <v>-1026000</v>
      </c>
      <c r="O26" s="14">
        <f t="shared" si="16"/>
        <v>-1026000</v>
      </c>
      <c r="P26" s="14">
        <f t="shared" si="16"/>
        <v>-1026000</v>
      </c>
    </row>
    <row r="27" spans="1:16" x14ac:dyDescent="0.2">
      <c r="B27" s="13">
        <v>10000</v>
      </c>
      <c r="D27" s="2" t="s">
        <v>64</v>
      </c>
      <c r="E27" s="14">
        <f>B27*'Current Plantings'!C85</f>
        <v>324739.85984285414</v>
      </c>
      <c r="F27" s="14">
        <f>B27*'Current Plantings'!F85</f>
        <v>0</v>
      </c>
      <c r="G27" s="14">
        <v>0</v>
      </c>
      <c r="H27" s="14">
        <f t="shared" ref="H27:P29" si="17">G27</f>
        <v>0</v>
      </c>
      <c r="I27" s="14">
        <f t="shared" si="17"/>
        <v>0</v>
      </c>
      <c r="J27" s="14">
        <f t="shared" si="17"/>
        <v>0</v>
      </c>
      <c r="K27" s="14">
        <f t="shared" si="17"/>
        <v>0</v>
      </c>
      <c r="L27" s="14">
        <f t="shared" si="17"/>
        <v>0</v>
      </c>
      <c r="M27" s="14">
        <f t="shared" si="17"/>
        <v>0</v>
      </c>
      <c r="N27" s="14">
        <f t="shared" si="17"/>
        <v>0</v>
      </c>
      <c r="O27" s="14">
        <f t="shared" si="17"/>
        <v>0</v>
      </c>
      <c r="P27" s="14">
        <f t="shared" si="17"/>
        <v>0</v>
      </c>
    </row>
    <row r="28" spans="1:16" x14ac:dyDescent="0.2">
      <c r="B28" s="13">
        <f>E28/D7</f>
        <v>-1648.8344236616601</v>
      </c>
      <c r="D28" s="2" t="s">
        <v>167</v>
      </c>
      <c r="E28" s="14">
        <f>-(E37*Summary!F21+'AUD Operating Cashflow'!E38*Summary!F21)</f>
        <v>-254100</v>
      </c>
      <c r="F28" s="14">
        <f>E28</f>
        <v>-254100</v>
      </c>
      <c r="G28" s="14">
        <f>F28</f>
        <v>-254100</v>
      </c>
      <c r="H28" s="14">
        <f t="shared" si="17"/>
        <v>-254100</v>
      </c>
      <c r="I28" s="14">
        <f t="shared" si="17"/>
        <v>-254100</v>
      </c>
      <c r="J28" s="14">
        <f t="shared" si="17"/>
        <v>-254100</v>
      </c>
      <c r="K28" s="14">
        <f t="shared" si="17"/>
        <v>-254100</v>
      </c>
      <c r="L28" s="14">
        <f t="shared" si="17"/>
        <v>-254100</v>
      </c>
      <c r="M28" s="14">
        <f t="shared" si="17"/>
        <v>-254100</v>
      </c>
      <c r="N28" s="14">
        <f t="shared" si="17"/>
        <v>-254100</v>
      </c>
      <c r="O28" s="14">
        <f t="shared" si="17"/>
        <v>-254100</v>
      </c>
      <c r="P28" s="14">
        <f t="shared" si="17"/>
        <v>-254100</v>
      </c>
    </row>
    <row r="29" spans="1:16" x14ac:dyDescent="0.2">
      <c r="B29" s="13">
        <f>-3500</f>
        <v>-3500</v>
      </c>
      <c r="D29" s="2" t="s">
        <v>184</v>
      </c>
      <c r="E29" s="14">
        <f>$B$29*E47</f>
        <v>-539381.02409638558</v>
      </c>
      <c r="F29" s="14">
        <f>E29</f>
        <v>-539381.02409638558</v>
      </c>
      <c r="G29" s="14">
        <f t="shared" ref="G29" si="18">F29</f>
        <v>-539381.02409638558</v>
      </c>
      <c r="H29" s="14">
        <f t="shared" si="17"/>
        <v>-539381.02409638558</v>
      </c>
      <c r="I29" s="14">
        <f t="shared" si="17"/>
        <v>-539381.02409638558</v>
      </c>
      <c r="J29" s="14">
        <f t="shared" si="17"/>
        <v>-539381.02409638558</v>
      </c>
      <c r="K29" s="14">
        <f t="shared" si="17"/>
        <v>-539381.02409638558</v>
      </c>
      <c r="L29" s="14">
        <f t="shared" si="17"/>
        <v>-539381.02409638558</v>
      </c>
      <c r="M29" s="14">
        <f t="shared" si="17"/>
        <v>-539381.02409638558</v>
      </c>
      <c r="N29" s="14">
        <f t="shared" si="17"/>
        <v>-539381.02409638558</v>
      </c>
      <c r="O29" s="14">
        <f t="shared" si="17"/>
        <v>-539381.02409638558</v>
      </c>
      <c r="P29" s="14">
        <f t="shared" si="17"/>
        <v>-539381.02409638558</v>
      </c>
    </row>
    <row r="30" spans="1:16" s="11" customFormat="1" x14ac:dyDescent="0.2">
      <c r="B30" s="17"/>
      <c r="D30" s="11" t="s">
        <v>161</v>
      </c>
      <c r="E30" s="15">
        <f t="shared" ref="E30:P30" si="19">SUM(E19:E29)</f>
        <v>1755051.8219771045</v>
      </c>
      <c r="F30" s="15">
        <f t="shared" si="19"/>
        <v>1395982.7954675839</v>
      </c>
      <c r="G30" s="15">
        <f t="shared" si="19"/>
        <v>1206809.228800917</v>
      </c>
      <c r="H30" s="15">
        <f t="shared" si="19"/>
        <v>1666327.9621342504</v>
      </c>
      <c r="I30" s="15">
        <f t="shared" si="19"/>
        <v>2126731.9621342504</v>
      </c>
      <c r="J30" s="15">
        <f t="shared" si="19"/>
        <v>2411911.9621342504</v>
      </c>
      <c r="K30" s="15">
        <f t="shared" si="19"/>
        <v>2558911.9621342504</v>
      </c>
      <c r="L30" s="15">
        <f t="shared" si="19"/>
        <v>2558911.9621342504</v>
      </c>
      <c r="M30" s="15">
        <f t="shared" si="19"/>
        <v>2558911.9621342504</v>
      </c>
      <c r="N30" s="15">
        <f t="shared" si="19"/>
        <v>2558911.9621342504</v>
      </c>
      <c r="O30" s="15">
        <f t="shared" si="19"/>
        <v>2558911.9621342504</v>
      </c>
      <c r="P30" s="15">
        <f t="shared" si="19"/>
        <v>2558911.9621342504</v>
      </c>
    </row>
    <row r="31" spans="1:16" s="11" customFormat="1" x14ac:dyDescent="0.2">
      <c r="B31" s="17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</row>
    <row r="32" spans="1:16" x14ac:dyDescent="0.2">
      <c r="B32" s="16"/>
      <c r="D32" s="2" t="s">
        <v>162</v>
      </c>
      <c r="E32" s="14">
        <f t="shared" ref="E32:P32" si="20">E30*E5</f>
        <v>1755051.8219771045</v>
      </c>
      <c r="F32" s="14">
        <f t="shared" si="20"/>
        <v>1423902.4513769357</v>
      </c>
      <c r="G32" s="14">
        <f t="shared" si="20"/>
        <v>1255564.3216444741</v>
      </c>
      <c r="H32" s="14">
        <f t="shared" si="20"/>
        <v>1768320.5640405635</v>
      </c>
      <c r="I32" s="14">
        <f t="shared" si="20"/>
        <v>2302043.0715140151</v>
      </c>
      <c r="J32" s="14">
        <f t="shared" si="20"/>
        <v>2662945.696400871</v>
      </c>
      <c r="K32" s="14">
        <f t="shared" si="20"/>
        <v>2881750.4859606968</v>
      </c>
      <c r="L32" s="14">
        <f t="shared" si="20"/>
        <v>2939385.4956799108</v>
      </c>
      <c r="M32" s="14">
        <f t="shared" si="20"/>
        <v>2998173.2055935091</v>
      </c>
      <c r="N32" s="14">
        <f t="shared" si="20"/>
        <v>3058136.6697053793</v>
      </c>
      <c r="O32" s="14">
        <f t="shared" si="20"/>
        <v>3119299.4030994871</v>
      </c>
      <c r="P32" s="14">
        <f t="shared" si="20"/>
        <v>3181685.3911614767</v>
      </c>
    </row>
    <row r="33" spans="2:6" x14ac:dyDescent="0.2">
      <c r="B33" s="20"/>
    </row>
    <row r="34" spans="2:6" x14ac:dyDescent="0.2">
      <c r="B34" s="20"/>
      <c r="D34" s="2" t="s">
        <v>163</v>
      </c>
    </row>
    <row r="35" spans="2:6" x14ac:dyDescent="0.2">
      <c r="B35" s="20"/>
    </row>
    <row r="36" spans="2:6" x14ac:dyDescent="0.2">
      <c r="B36" s="20"/>
      <c r="E36" s="2" t="s">
        <v>166</v>
      </c>
    </row>
    <row r="37" spans="2:6" x14ac:dyDescent="0.2">
      <c r="B37" s="20"/>
      <c r="D37" s="2" t="s">
        <v>164</v>
      </c>
      <c r="E37" s="193">
        <v>1.2500000000000001E-2</v>
      </c>
    </row>
    <row r="38" spans="2:6" x14ac:dyDescent="0.2">
      <c r="B38" s="20"/>
      <c r="D38" s="2" t="s">
        <v>165</v>
      </c>
      <c r="E38" s="193">
        <v>4.0000000000000001E-3</v>
      </c>
    </row>
    <row r="39" spans="2:6" x14ac:dyDescent="0.2">
      <c r="B39" s="203"/>
    </row>
    <row r="40" spans="2:6" x14ac:dyDescent="0.2">
      <c r="B40" s="20"/>
    </row>
    <row r="41" spans="2:6" ht="13.5" thickBot="1" x14ac:dyDescent="0.25">
      <c r="D41" s="225" t="s">
        <v>10</v>
      </c>
      <c r="E41" s="226"/>
    </row>
    <row r="42" spans="2:6" ht="13.5" thickBot="1" x14ac:dyDescent="0.25">
      <c r="D42" s="21" t="s">
        <v>154</v>
      </c>
      <c r="E42" s="22">
        <f>'Current Plantings'!C86</f>
        <v>97.108864027538729</v>
      </c>
      <c r="F42" s="23">
        <f>E42/$E$47</f>
        <v>0.63013159327542445</v>
      </c>
    </row>
    <row r="43" spans="2:6" ht="13.5" thickBot="1" x14ac:dyDescent="0.25">
      <c r="D43" s="24" t="s">
        <v>155</v>
      </c>
      <c r="E43" s="22">
        <v>7</v>
      </c>
      <c r="F43" s="23">
        <f>E43/$E$47</f>
        <v>4.5422435913544355E-2</v>
      </c>
    </row>
    <row r="44" spans="2:6" ht="13.5" thickBot="1" x14ac:dyDescent="0.25">
      <c r="D44" s="24" t="s">
        <v>156</v>
      </c>
      <c r="E44" s="22">
        <f>Summary!C15-'AUD Operating Cashflow'!E43</f>
        <v>50</v>
      </c>
      <c r="F44" s="23">
        <f>E44/$E$47</f>
        <v>0.3244459708110311</v>
      </c>
    </row>
    <row r="45" spans="2:6" ht="13.5" thickBot="1" x14ac:dyDescent="0.25">
      <c r="D45" s="24" t="s">
        <v>157</v>
      </c>
      <c r="E45" s="22">
        <v>0</v>
      </c>
      <c r="F45" s="23">
        <f>E45/$E$47</f>
        <v>0</v>
      </c>
    </row>
    <row r="46" spans="2:6" ht="13.5" thickBot="1" x14ac:dyDescent="0.25">
      <c r="D46" s="24" t="s">
        <v>158</v>
      </c>
      <c r="E46" s="22">
        <v>0</v>
      </c>
      <c r="F46" s="23">
        <f>E46/$E$47</f>
        <v>0</v>
      </c>
    </row>
    <row r="47" spans="2:6" x14ac:dyDescent="0.2">
      <c r="D47" s="2" t="s">
        <v>11</v>
      </c>
      <c r="E47" s="191">
        <f>SUM(E42:E46)</f>
        <v>154.10886402753874</v>
      </c>
    </row>
    <row r="50" spans="5:5" x14ac:dyDescent="0.2">
      <c r="E50" s="202"/>
    </row>
    <row r="52" spans="5:5" x14ac:dyDescent="0.2">
      <c r="E52" s="202"/>
    </row>
  </sheetData>
  <mergeCells count="2">
    <mergeCell ref="E4:P4"/>
    <mergeCell ref="D41:E4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34D54-9FBC-9C4D-85E4-55B3540177E2}">
  <dimension ref="A1:J101"/>
  <sheetViews>
    <sheetView zoomScale="110" zoomScaleNormal="100" workbookViewId="0">
      <selection sqref="A1:F1"/>
    </sheetView>
  </sheetViews>
  <sheetFormatPr defaultColWidth="11" defaultRowHeight="15.75" x14ac:dyDescent="0.25"/>
  <cols>
    <col min="1" max="1" width="19.125" customWidth="1"/>
    <col min="3" max="3" width="22" bestFit="1" customWidth="1"/>
    <col min="4" max="4" width="13" customWidth="1"/>
    <col min="5" max="5" width="27.5" customWidth="1"/>
    <col min="6" max="6" width="25.5" customWidth="1"/>
    <col min="7" max="7" width="19.125" customWidth="1"/>
    <col min="8" max="8" width="18.625" customWidth="1"/>
  </cols>
  <sheetData>
    <row r="1" spans="1:9" ht="16.5" thickBot="1" x14ac:dyDescent="0.3">
      <c r="A1" s="227" t="s">
        <v>187</v>
      </c>
      <c r="B1" s="227"/>
      <c r="C1" s="227"/>
      <c r="D1" s="227"/>
      <c r="E1" s="227"/>
      <c r="F1" s="227"/>
    </row>
    <row r="2" spans="1:9" ht="16.5" thickTop="1" x14ac:dyDescent="0.25"/>
    <row r="3" spans="1:9" x14ac:dyDescent="0.25">
      <c r="A3" s="33" t="s">
        <v>14</v>
      </c>
      <c r="B3" s="29" t="s">
        <v>15</v>
      </c>
      <c r="C3" s="29" t="s">
        <v>29</v>
      </c>
      <c r="D3" s="29" t="s">
        <v>27</v>
      </c>
      <c r="E3" s="29" t="s">
        <v>28</v>
      </c>
      <c r="F3" s="33" t="s">
        <v>31</v>
      </c>
      <c r="G3" s="32"/>
      <c r="H3" s="32"/>
      <c r="I3" s="32"/>
    </row>
    <row r="4" spans="1:9" x14ac:dyDescent="0.25">
      <c r="A4" t="s">
        <v>16</v>
      </c>
      <c r="B4">
        <v>36.07</v>
      </c>
      <c r="C4">
        <v>70</v>
      </c>
      <c r="D4">
        <v>4</v>
      </c>
      <c r="E4">
        <f>7+12+3.5+2</f>
        <v>24.5</v>
      </c>
      <c r="F4">
        <f>50+50</f>
        <v>100</v>
      </c>
    </row>
    <row r="5" spans="1:9" x14ac:dyDescent="0.25">
      <c r="A5" t="s">
        <v>32</v>
      </c>
      <c r="B5">
        <v>44.99</v>
      </c>
      <c r="C5">
        <v>140</v>
      </c>
      <c r="D5">
        <v>2</v>
      </c>
      <c r="E5">
        <f>5+17</f>
        <v>22</v>
      </c>
    </row>
    <row r="6" spans="1:9" x14ac:dyDescent="0.25">
      <c r="A6" t="s">
        <v>36</v>
      </c>
      <c r="B6">
        <v>55.28</v>
      </c>
      <c r="C6">
        <v>130</v>
      </c>
      <c r="D6">
        <v>3</v>
      </c>
      <c r="E6">
        <f>2.5+2+3.5</f>
        <v>8</v>
      </c>
      <c r="F6">
        <f>25+25</f>
        <v>50</v>
      </c>
    </row>
    <row r="7" spans="1:9" x14ac:dyDescent="0.25">
      <c r="A7" t="s">
        <v>39</v>
      </c>
      <c r="B7">
        <v>31.87</v>
      </c>
      <c r="C7">
        <v>120</v>
      </c>
      <c r="D7">
        <v>0</v>
      </c>
      <c r="E7">
        <v>0</v>
      </c>
      <c r="F7">
        <v>0</v>
      </c>
    </row>
    <row r="8" spans="1:9" ht="16.5" thickBot="1" x14ac:dyDescent="0.3">
      <c r="A8" s="35" t="s">
        <v>0</v>
      </c>
      <c r="B8" s="35">
        <f>SUM(B4:B7)</f>
        <v>168.21</v>
      </c>
      <c r="C8" s="35">
        <f t="shared" ref="C8:F8" si="0">SUM(C4:C7)</f>
        <v>460</v>
      </c>
      <c r="D8" s="35">
        <f t="shared" si="0"/>
        <v>9</v>
      </c>
      <c r="E8" s="35">
        <f t="shared" si="0"/>
        <v>54.5</v>
      </c>
      <c r="F8" s="35">
        <f t="shared" si="0"/>
        <v>150</v>
      </c>
    </row>
    <row r="9" spans="1:9" x14ac:dyDescent="0.25">
      <c r="E9" s="37">
        <f>E8*60*60*24*200/1000000</f>
        <v>941.76</v>
      </c>
      <c r="F9" t="s">
        <v>143</v>
      </c>
    </row>
    <row r="10" spans="1:9" x14ac:dyDescent="0.25">
      <c r="A10" s="183" t="s">
        <v>144</v>
      </c>
      <c r="B10" s="183"/>
      <c r="C10" s="183"/>
      <c r="E10" s="37"/>
      <c r="F10" t="s">
        <v>186</v>
      </c>
    </row>
    <row r="11" spans="1:9" x14ac:dyDescent="0.25">
      <c r="A11" t="s">
        <v>145</v>
      </c>
      <c r="C11" s="37">
        <f>C8</f>
        <v>460</v>
      </c>
      <c r="E11" s="37"/>
    </row>
    <row r="12" spans="1:9" x14ac:dyDescent="0.25">
      <c r="A12" t="s">
        <v>146</v>
      </c>
      <c r="C12" s="37">
        <f>E9</f>
        <v>941.76</v>
      </c>
      <c r="E12" s="37"/>
    </row>
    <row r="13" spans="1:9" x14ac:dyDescent="0.25">
      <c r="A13" t="s">
        <v>147</v>
      </c>
      <c r="C13" s="37">
        <f>F8</f>
        <v>150</v>
      </c>
      <c r="E13" s="37"/>
    </row>
    <row r="14" spans="1:9" ht="16.5" thickBot="1" x14ac:dyDescent="0.3">
      <c r="A14" s="35" t="s">
        <v>148</v>
      </c>
      <c r="B14" s="35"/>
      <c r="C14" s="184">
        <f>SUM(C11:C13)</f>
        <v>1551.76</v>
      </c>
      <c r="E14" s="37"/>
    </row>
    <row r="15" spans="1:9" x14ac:dyDescent="0.25">
      <c r="E15" s="37"/>
    </row>
    <row r="16" spans="1:9" x14ac:dyDescent="0.25">
      <c r="C16" s="37"/>
    </row>
    <row r="17" spans="1:5" x14ac:dyDescent="0.25">
      <c r="A17" s="31" t="s">
        <v>16</v>
      </c>
    </row>
    <row r="19" spans="1:5" x14ac:dyDescent="0.25">
      <c r="A19" s="34"/>
      <c r="B19" s="29" t="s">
        <v>20</v>
      </c>
      <c r="C19" s="29" t="s">
        <v>21</v>
      </c>
      <c r="D19" s="29" t="s">
        <v>22</v>
      </c>
      <c r="E19" s="39" t="s">
        <v>26</v>
      </c>
    </row>
    <row r="20" spans="1:5" x14ac:dyDescent="0.25">
      <c r="A20" t="s">
        <v>51</v>
      </c>
      <c r="B20" s="37">
        <v>100</v>
      </c>
      <c r="C20" s="37"/>
      <c r="D20" s="37">
        <v>1500</v>
      </c>
      <c r="E20" s="40">
        <f>SUM(B20:D20)</f>
        <v>1600</v>
      </c>
    </row>
    <row r="21" spans="1:5" x14ac:dyDescent="0.25">
      <c r="A21" t="s">
        <v>52</v>
      </c>
      <c r="B21" s="37">
        <v>150</v>
      </c>
      <c r="C21" s="37"/>
      <c r="D21" s="37">
        <v>150</v>
      </c>
      <c r="E21" s="40">
        <f t="shared" ref="E21:E24" si="1">SUM(B21:D21)</f>
        <v>300</v>
      </c>
    </row>
    <row r="22" spans="1:5" x14ac:dyDescent="0.25">
      <c r="A22" t="s">
        <v>23</v>
      </c>
      <c r="B22" s="37"/>
      <c r="C22" s="37">
        <v>1100</v>
      </c>
      <c r="D22" s="37">
        <v>350</v>
      </c>
      <c r="E22" s="40">
        <f t="shared" si="1"/>
        <v>1450</v>
      </c>
    </row>
    <row r="23" spans="1:5" x14ac:dyDescent="0.25">
      <c r="A23" t="s">
        <v>24</v>
      </c>
      <c r="B23" s="37">
        <v>2100</v>
      </c>
      <c r="C23" s="37"/>
      <c r="D23" s="37"/>
      <c r="E23" s="40">
        <f t="shared" si="1"/>
        <v>2100</v>
      </c>
    </row>
    <row r="24" spans="1:5" x14ac:dyDescent="0.25">
      <c r="A24" t="s">
        <v>25</v>
      </c>
      <c r="B24" s="37"/>
      <c r="C24" s="37">
        <v>80</v>
      </c>
      <c r="D24" s="37"/>
      <c r="E24" s="40">
        <f t="shared" si="1"/>
        <v>80</v>
      </c>
    </row>
    <row r="25" spans="1:5" x14ac:dyDescent="0.25">
      <c r="A25" s="33" t="s">
        <v>26</v>
      </c>
      <c r="B25" s="38">
        <f>SUM(B20:B24)</f>
        <v>2350</v>
      </c>
      <c r="C25" s="38">
        <f t="shared" ref="C25:E25" si="2">SUM(C20:C24)</f>
        <v>1180</v>
      </c>
      <c r="D25" s="38">
        <f t="shared" si="2"/>
        <v>2000</v>
      </c>
      <c r="E25" s="38">
        <f t="shared" si="2"/>
        <v>5530</v>
      </c>
    </row>
    <row r="29" spans="1:5" x14ac:dyDescent="0.25">
      <c r="A29" s="31" t="s">
        <v>32</v>
      </c>
    </row>
    <row r="31" spans="1:5" x14ac:dyDescent="0.25">
      <c r="A31" s="34"/>
      <c r="B31" s="29" t="s">
        <v>20</v>
      </c>
      <c r="C31" s="29" t="s">
        <v>21</v>
      </c>
      <c r="D31" s="29" t="s">
        <v>22</v>
      </c>
      <c r="E31" s="39" t="s">
        <v>26</v>
      </c>
    </row>
    <row r="32" spans="1:5" x14ac:dyDescent="0.25">
      <c r="A32" t="s">
        <v>51</v>
      </c>
      <c r="B32" s="37"/>
      <c r="C32" s="37">
        <f>300+500</f>
        <v>800</v>
      </c>
      <c r="D32" s="37"/>
      <c r="E32" s="40">
        <f>SUM(B32:D32)</f>
        <v>800</v>
      </c>
    </row>
    <row r="33" spans="1:5" x14ac:dyDescent="0.25">
      <c r="A33" t="s">
        <v>52</v>
      </c>
      <c r="B33" s="37"/>
      <c r="C33" s="37">
        <v>500</v>
      </c>
      <c r="D33" s="37"/>
      <c r="E33" s="40">
        <f t="shared" ref="E33:E39" si="3">SUM(B33:D33)</f>
        <v>500</v>
      </c>
    </row>
    <row r="34" spans="1:5" x14ac:dyDescent="0.25">
      <c r="A34" t="s">
        <v>23</v>
      </c>
      <c r="B34" s="37">
        <f>700+700</f>
        <v>1400</v>
      </c>
      <c r="C34" s="37">
        <f>150+250</f>
        <v>400</v>
      </c>
      <c r="D34" s="37">
        <v>200</v>
      </c>
      <c r="E34" s="40">
        <f t="shared" si="3"/>
        <v>2000</v>
      </c>
    </row>
    <row r="35" spans="1:5" x14ac:dyDescent="0.25">
      <c r="A35" t="s">
        <v>24</v>
      </c>
      <c r="B35" s="37">
        <v>700</v>
      </c>
      <c r="C35" s="37">
        <v>650</v>
      </c>
      <c r="D35" s="37"/>
      <c r="E35" s="40">
        <f t="shared" si="3"/>
        <v>1350</v>
      </c>
    </row>
    <row r="36" spans="1:5" x14ac:dyDescent="0.25">
      <c r="A36" t="s">
        <v>33</v>
      </c>
      <c r="B36" s="37"/>
      <c r="C36" s="37"/>
      <c r="D36" s="37">
        <v>100</v>
      </c>
      <c r="E36" s="40">
        <f t="shared" si="3"/>
        <v>100</v>
      </c>
    </row>
    <row r="37" spans="1:5" x14ac:dyDescent="0.25">
      <c r="A37" t="s">
        <v>35</v>
      </c>
      <c r="B37" s="37"/>
      <c r="C37" s="37">
        <v>700</v>
      </c>
      <c r="D37" s="37"/>
      <c r="E37" s="40">
        <f t="shared" si="3"/>
        <v>700</v>
      </c>
    </row>
    <row r="38" spans="1:5" x14ac:dyDescent="0.25">
      <c r="A38" t="s">
        <v>34</v>
      </c>
      <c r="B38" s="37"/>
      <c r="C38" s="37"/>
      <c r="D38" s="37">
        <v>60</v>
      </c>
      <c r="E38" s="40">
        <f t="shared" si="3"/>
        <v>60</v>
      </c>
    </row>
    <row r="39" spans="1:5" x14ac:dyDescent="0.25">
      <c r="A39" t="s">
        <v>25</v>
      </c>
      <c r="B39" s="37"/>
      <c r="C39" s="37">
        <v>80</v>
      </c>
      <c r="D39" s="37"/>
      <c r="E39" s="40">
        <f t="shared" si="3"/>
        <v>80</v>
      </c>
    </row>
    <row r="40" spans="1:5" x14ac:dyDescent="0.25">
      <c r="A40" s="33" t="s">
        <v>26</v>
      </c>
      <c r="B40" s="38">
        <f>SUM(B32:B39)</f>
        <v>2100</v>
      </c>
      <c r="C40" s="38">
        <f>SUM(C32:C39)</f>
        <v>3130</v>
      </c>
      <c r="D40" s="38">
        <f>SUM(D32:D39)</f>
        <v>360</v>
      </c>
      <c r="E40" s="38">
        <f t="shared" ref="E40" si="4">SUM(E32:E39)</f>
        <v>5590</v>
      </c>
    </row>
    <row r="44" spans="1:5" x14ac:dyDescent="0.25">
      <c r="A44" s="31" t="s">
        <v>36</v>
      </c>
    </row>
    <row r="46" spans="1:5" x14ac:dyDescent="0.25">
      <c r="A46" s="34"/>
      <c r="B46" s="29" t="s">
        <v>20</v>
      </c>
      <c r="C46" s="29" t="s">
        <v>21</v>
      </c>
      <c r="D46" s="29" t="s">
        <v>22</v>
      </c>
      <c r="E46" s="39" t="s">
        <v>26</v>
      </c>
    </row>
    <row r="47" spans="1:5" x14ac:dyDescent="0.25">
      <c r="A47" t="s">
        <v>51</v>
      </c>
      <c r="B47" s="37">
        <v>700</v>
      </c>
      <c r="C47" s="37"/>
      <c r="D47" s="37"/>
      <c r="E47" s="40">
        <f>SUM(B47:D47)</f>
        <v>700</v>
      </c>
    </row>
    <row r="48" spans="1:5" x14ac:dyDescent="0.25">
      <c r="A48" t="s">
        <v>52</v>
      </c>
      <c r="B48" s="37">
        <v>700</v>
      </c>
      <c r="C48" s="37"/>
      <c r="D48" s="37"/>
      <c r="E48" s="40">
        <f t="shared" ref="E48:E54" si="5">SUM(B48:D48)</f>
        <v>700</v>
      </c>
    </row>
    <row r="49" spans="1:5" x14ac:dyDescent="0.25">
      <c r="A49" t="s">
        <v>53</v>
      </c>
      <c r="B49" s="37">
        <f>800+700</f>
        <v>1500</v>
      </c>
      <c r="C49" s="37"/>
      <c r="D49" s="37"/>
      <c r="E49" s="40">
        <f t="shared" si="5"/>
        <v>1500</v>
      </c>
    </row>
    <row r="50" spans="1:5" x14ac:dyDescent="0.25">
      <c r="A50" t="s">
        <v>23</v>
      </c>
      <c r="B50" s="37">
        <f>800+150</f>
        <v>950</v>
      </c>
      <c r="C50" s="37"/>
      <c r="D50" s="37">
        <f>200+1000</f>
        <v>1200</v>
      </c>
      <c r="E50" s="40">
        <f t="shared" si="5"/>
        <v>2150</v>
      </c>
    </row>
    <row r="51" spans="1:5" x14ac:dyDescent="0.25">
      <c r="A51" t="s">
        <v>24</v>
      </c>
      <c r="B51" s="37">
        <v>350</v>
      </c>
      <c r="C51" s="37"/>
      <c r="D51" s="37"/>
      <c r="E51" s="40">
        <f t="shared" si="5"/>
        <v>350</v>
      </c>
    </row>
    <row r="52" spans="1:5" x14ac:dyDescent="0.25">
      <c r="A52" t="s">
        <v>33</v>
      </c>
      <c r="B52" s="37">
        <v>1000</v>
      </c>
      <c r="C52" s="37"/>
      <c r="D52" s="37"/>
      <c r="E52" s="40">
        <f t="shared" si="5"/>
        <v>1000</v>
      </c>
    </row>
    <row r="53" spans="1:5" x14ac:dyDescent="0.25">
      <c r="A53" t="s">
        <v>37</v>
      </c>
      <c r="B53" s="37">
        <f>175+40</f>
        <v>215</v>
      </c>
      <c r="C53" s="37"/>
      <c r="D53" s="37"/>
      <c r="E53" s="40">
        <f t="shared" si="5"/>
        <v>215</v>
      </c>
    </row>
    <row r="54" spans="1:5" x14ac:dyDescent="0.25">
      <c r="A54" t="s">
        <v>38</v>
      </c>
      <c r="B54" s="37">
        <f>2500+500</f>
        <v>3000</v>
      </c>
      <c r="C54" s="37"/>
      <c r="D54" s="37"/>
      <c r="E54" s="40">
        <f t="shared" si="5"/>
        <v>3000</v>
      </c>
    </row>
    <row r="55" spans="1:5" x14ac:dyDescent="0.25">
      <c r="A55" s="33" t="s">
        <v>26</v>
      </c>
      <c r="B55" s="38">
        <f>SUM(B47:B53)</f>
        <v>5415</v>
      </c>
      <c r="C55" s="38">
        <f>SUM(C47:C53)</f>
        <v>0</v>
      </c>
      <c r="D55" s="38">
        <f>SUM(D47:D53)</f>
        <v>1200</v>
      </c>
      <c r="E55" s="38">
        <f t="shared" ref="E55" si="6">SUM(E47:E53)</f>
        <v>6615</v>
      </c>
    </row>
    <row r="59" spans="1:5" x14ac:dyDescent="0.25">
      <c r="A59" s="31" t="s">
        <v>36</v>
      </c>
    </row>
    <row r="61" spans="1:5" x14ac:dyDescent="0.25">
      <c r="A61" s="34"/>
      <c r="B61" s="29" t="s">
        <v>20</v>
      </c>
      <c r="C61" s="29" t="s">
        <v>21</v>
      </c>
      <c r="D61" s="29" t="s">
        <v>22</v>
      </c>
      <c r="E61" s="39" t="s">
        <v>26</v>
      </c>
    </row>
    <row r="62" spans="1:5" x14ac:dyDescent="0.25">
      <c r="A62" t="s">
        <v>23</v>
      </c>
      <c r="B62" s="37">
        <f>1800</f>
        <v>1800</v>
      </c>
      <c r="C62" s="37"/>
      <c r="D62" s="37"/>
      <c r="E62" s="40">
        <f>SUM(B62:D62)</f>
        <v>1800</v>
      </c>
    </row>
    <row r="63" spans="1:5" x14ac:dyDescent="0.25">
      <c r="A63" t="s">
        <v>24</v>
      </c>
      <c r="B63" s="37">
        <f>2200</f>
        <v>2200</v>
      </c>
      <c r="C63" s="37"/>
      <c r="D63" s="37"/>
      <c r="E63" s="40">
        <f>SUM(B63:D63)</f>
        <v>2200</v>
      </c>
    </row>
    <row r="64" spans="1:5" x14ac:dyDescent="0.25">
      <c r="A64" s="33" t="s">
        <v>26</v>
      </c>
      <c r="B64" s="38">
        <f>SUM(B62:B63)</f>
        <v>4000</v>
      </c>
      <c r="C64" s="38">
        <f>SUM(C62:C63)</f>
        <v>0</v>
      </c>
      <c r="D64" s="38">
        <f>SUM(D62:D63)</f>
        <v>0</v>
      </c>
      <c r="E64" s="42">
        <f>E62+E63</f>
        <v>4000</v>
      </c>
    </row>
    <row r="68" spans="1:8" x14ac:dyDescent="0.25">
      <c r="A68" s="31" t="s">
        <v>40</v>
      </c>
    </row>
    <row r="70" spans="1:8" x14ac:dyDescent="0.25">
      <c r="A70" s="34"/>
      <c r="B70" s="29" t="s">
        <v>20</v>
      </c>
      <c r="C70" s="29" t="s">
        <v>21</v>
      </c>
      <c r="D70" s="29" t="s">
        <v>22</v>
      </c>
      <c r="E70" s="39" t="s">
        <v>26</v>
      </c>
      <c r="F70" s="39" t="s">
        <v>150</v>
      </c>
      <c r="G70" s="39" t="s">
        <v>149</v>
      </c>
      <c r="H70" s="29" t="s">
        <v>19</v>
      </c>
    </row>
    <row r="71" spans="1:8" x14ac:dyDescent="0.25">
      <c r="A71" t="s">
        <v>51</v>
      </c>
      <c r="B71" s="37">
        <f>B20+B32+B47</f>
        <v>800</v>
      </c>
      <c r="C71" s="37">
        <f t="shared" ref="C71:D71" si="7">C20+C32+C47</f>
        <v>800</v>
      </c>
      <c r="D71" s="37">
        <f t="shared" si="7"/>
        <v>1500</v>
      </c>
      <c r="E71" s="37">
        <f>SUM(B71:D71)</f>
        <v>3100</v>
      </c>
      <c r="F71">
        <v>170</v>
      </c>
      <c r="G71" s="1">
        <f>E71/F71</f>
        <v>18.235294117647058</v>
      </c>
    </row>
    <row r="72" spans="1:8" x14ac:dyDescent="0.25">
      <c r="A72" t="s">
        <v>52</v>
      </c>
      <c r="B72" s="37">
        <f>B21+B33+B48</f>
        <v>850</v>
      </c>
      <c r="C72" s="37">
        <f t="shared" ref="C72:D72" si="8">C21+C33+C48</f>
        <v>500</v>
      </c>
      <c r="D72" s="37">
        <f t="shared" si="8"/>
        <v>150</v>
      </c>
      <c r="E72" s="37">
        <f t="shared" ref="E72:E81" si="9">SUM(B72:D72)</f>
        <v>1500</v>
      </c>
      <c r="F72">
        <v>170</v>
      </c>
      <c r="G72" s="1">
        <f t="shared" ref="G72:G81" si="10">E72/F72</f>
        <v>8.8235294117647065</v>
      </c>
    </row>
    <row r="73" spans="1:8" x14ac:dyDescent="0.25">
      <c r="A73" t="s">
        <v>53</v>
      </c>
      <c r="B73" s="37">
        <f>B49</f>
        <v>1500</v>
      </c>
      <c r="C73" s="37">
        <f t="shared" ref="C73:D73" si="11">C49</f>
        <v>0</v>
      </c>
      <c r="D73" s="37">
        <f t="shared" si="11"/>
        <v>0</v>
      </c>
      <c r="E73" s="37">
        <f t="shared" si="9"/>
        <v>1500</v>
      </c>
      <c r="F73">
        <v>277</v>
      </c>
      <c r="G73" s="1">
        <f t="shared" si="10"/>
        <v>5.4151624548736459</v>
      </c>
    </row>
    <row r="74" spans="1:8" x14ac:dyDescent="0.25">
      <c r="A74" t="s">
        <v>23</v>
      </c>
      <c r="B74" s="37">
        <f>B62+B50+B34+B22</f>
        <v>4150</v>
      </c>
      <c r="C74" s="37">
        <f t="shared" ref="C74:D74" si="12">C62+C50+C34+C22</f>
        <v>1500</v>
      </c>
      <c r="D74" s="37">
        <f t="shared" si="12"/>
        <v>1750</v>
      </c>
      <c r="E74" s="37">
        <f t="shared" si="9"/>
        <v>7400</v>
      </c>
      <c r="F74">
        <v>140</v>
      </c>
      <c r="G74" s="1">
        <f t="shared" si="10"/>
        <v>52.857142857142854</v>
      </c>
    </row>
    <row r="75" spans="1:8" x14ac:dyDescent="0.25">
      <c r="A75" t="s">
        <v>24</v>
      </c>
      <c r="B75" s="37">
        <f>B63+B51+B35+B23</f>
        <v>5350</v>
      </c>
      <c r="C75" s="37">
        <f t="shared" ref="C75:D75" si="13">C63+C51+C35+C23</f>
        <v>650</v>
      </c>
      <c r="D75" s="37">
        <f t="shared" si="13"/>
        <v>0</v>
      </c>
      <c r="E75" s="37">
        <f t="shared" si="9"/>
        <v>6000</v>
      </c>
      <c r="F75">
        <v>166</v>
      </c>
      <c r="G75" s="1">
        <f t="shared" si="10"/>
        <v>36.144578313253014</v>
      </c>
    </row>
    <row r="76" spans="1:8" x14ac:dyDescent="0.25">
      <c r="A76" t="s">
        <v>33</v>
      </c>
      <c r="B76" s="37">
        <f>B52+B36</f>
        <v>1000</v>
      </c>
      <c r="C76" s="37">
        <f t="shared" ref="C76:D76" si="14">C52+C36</f>
        <v>0</v>
      </c>
      <c r="D76" s="37">
        <f t="shared" si="14"/>
        <v>100</v>
      </c>
      <c r="E76" s="37">
        <f t="shared" si="9"/>
        <v>1100</v>
      </c>
      <c r="F76">
        <v>166</v>
      </c>
      <c r="G76" s="1">
        <f t="shared" si="10"/>
        <v>6.6265060240963853</v>
      </c>
    </row>
    <row r="77" spans="1:8" x14ac:dyDescent="0.25">
      <c r="A77" t="s">
        <v>35</v>
      </c>
      <c r="B77" s="37">
        <f>B37</f>
        <v>0</v>
      </c>
      <c r="C77" s="37">
        <f t="shared" ref="C77:D77" si="15">C37</f>
        <v>700</v>
      </c>
      <c r="D77" s="37">
        <f t="shared" si="15"/>
        <v>0</v>
      </c>
      <c r="E77" s="37">
        <f t="shared" si="9"/>
        <v>700</v>
      </c>
      <c r="F77">
        <v>140</v>
      </c>
      <c r="G77" s="1">
        <f t="shared" si="10"/>
        <v>5</v>
      </c>
    </row>
    <row r="78" spans="1:8" x14ac:dyDescent="0.25">
      <c r="A78" t="s">
        <v>37</v>
      </c>
      <c r="B78" s="37">
        <f>B53</f>
        <v>215</v>
      </c>
      <c r="C78" s="37">
        <f t="shared" ref="C78:D78" si="16">C53</f>
        <v>0</v>
      </c>
      <c r="D78" s="37">
        <f t="shared" si="16"/>
        <v>0</v>
      </c>
      <c r="E78" s="37">
        <f t="shared" si="9"/>
        <v>215</v>
      </c>
      <c r="F78">
        <v>140</v>
      </c>
      <c r="G78" s="1">
        <f t="shared" si="10"/>
        <v>1.5357142857142858</v>
      </c>
    </row>
    <row r="79" spans="1:8" x14ac:dyDescent="0.25">
      <c r="A79" t="s">
        <v>34</v>
      </c>
      <c r="B79" s="37">
        <f>B38</f>
        <v>0</v>
      </c>
      <c r="C79" s="37">
        <f t="shared" ref="C79:D79" si="17">C38</f>
        <v>0</v>
      </c>
      <c r="D79" s="37">
        <f t="shared" si="17"/>
        <v>60</v>
      </c>
      <c r="E79" s="37">
        <f t="shared" si="9"/>
        <v>60</v>
      </c>
      <c r="F79">
        <v>140</v>
      </c>
      <c r="G79" s="1">
        <f t="shared" si="10"/>
        <v>0.42857142857142855</v>
      </c>
    </row>
    <row r="80" spans="1:8" x14ac:dyDescent="0.25">
      <c r="A80" t="s">
        <v>25</v>
      </c>
      <c r="B80" s="37">
        <f>B39+B24</f>
        <v>0</v>
      </c>
      <c r="C80" s="37">
        <f t="shared" ref="C80:D80" si="18">C39+C24</f>
        <v>160</v>
      </c>
      <c r="D80" s="37">
        <f t="shared" si="18"/>
        <v>0</v>
      </c>
      <c r="E80" s="37">
        <f t="shared" si="9"/>
        <v>160</v>
      </c>
      <c r="F80">
        <v>140</v>
      </c>
      <c r="G80" s="1">
        <f t="shared" si="10"/>
        <v>1.1428571428571428</v>
      </c>
    </row>
    <row r="81" spans="1:10" x14ac:dyDescent="0.25">
      <c r="A81" t="s">
        <v>38</v>
      </c>
      <c r="B81" s="37">
        <f>B54</f>
        <v>3000</v>
      </c>
      <c r="C81" s="37">
        <f t="shared" ref="C81:D81" si="19">C54</f>
        <v>0</v>
      </c>
      <c r="D81" s="37">
        <f t="shared" si="19"/>
        <v>0</v>
      </c>
      <c r="E81" s="37">
        <f t="shared" si="9"/>
        <v>3000</v>
      </c>
      <c r="F81">
        <v>312</v>
      </c>
      <c r="G81" s="1">
        <f t="shared" si="10"/>
        <v>9.615384615384615</v>
      </c>
    </row>
    <row r="82" spans="1:10" x14ac:dyDescent="0.25">
      <c r="A82" s="33" t="s">
        <v>26</v>
      </c>
      <c r="B82" s="38">
        <f t="shared" ref="B82:D82" si="20">SUM(B71:B81)</f>
        <v>16865</v>
      </c>
      <c r="C82" s="38">
        <f t="shared" si="20"/>
        <v>4310</v>
      </c>
      <c r="D82" s="38">
        <f t="shared" si="20"/>
        <v>3560</v>
      </c>
      <c r="E82" s="38">
        <f>SUM(E71:E81)</f>
        <v>24735</v>
      </c>
      <c r="F82" s="38">
        <f>E82/G82</f>
        <v>169.62142287738484</v>
      </c>
      <c r="G82" s="41">
        <f>SUM(G71:G81)</f>
        <v>145.82474065130512</v>
      </c>
      <c r="H82" s="33" t="s">
        <v>30</v>
      </c>
    </row>
    <row r="83" spans="1:10" x14ac:dyDescent="0.25">
      <c r="B83" s="207">
        <f>B82/SUM(B82:D82)</f>
        <v>0.68182737012330707</v>
      </c>
      <c r="C83" s="40"/>
      <c r="D83" s="40"/>
      <c r="G83" s="204"/>
      <c r="H83" s="204"/>
      <c r="I83" s="204" t="s">
        <v>55</v>
      </c>
      <c r="J83" s="204"/>
    </row>
    <row r="84" spans="1:10" x14ac:dyDescent="0.25">
      <c r="A84" s="33" t="s">
        <v>62</v>
      </c>
      <c r="B84" s="43" t="s">
        <v>26</v>
      </c>
      <c r="C84" s="43" t="s">
        <v>61</v>
      </c>
      <c r="D84" s="33" t="s">
        <v>62</v>
      </c>
      <c r="E84" s="29" t="s">
        <v>26</v>
      </c>
      <c r="F84" s="43" t="s">
        <v>63</v>
      </c>
      <c r="G84" s="204"/>
      <c r="H84" s="204"/>
      <c r="I84" s="204" t="s">
        <v>54</v>
      </c>
      <c r="J84" s="204" t="s">
        <v>50</v>
      </c>
    </row>
    <row r="85" spans="1:10" x14ac:dyDescent="0.25">
      <c r="A85" t="s">
        <v>41</v>
      </c>
      <c r="B85" s="40">
        <f>SUM(E71:E73)</f>
        <v>6100</v>
      </c>
      <c r="C85" s="44">
        <f>SUM(G71:G73)</f>
        <v>32.473985984285413</v>
      </c>
      <c r="D85" t="str">
        <f>A85</f>
        <v>Mango</v>
      </c>
      <c r="E85" s="46">
        <v>0</v>
      </c>
      <c r="F85" s="44">
        <f>C85-B95</f>
        <v>0</v>
      </c>
      <c r="G85" s="204" t="s">
        <v>17</v>
      </c>
      <c r="H85" s="205">
        <f>G74</f>
        <v>52.857142857142854</v>
      </c>
      <c r="I85" s="204" t="s">
        <v>47</v>
      </c>
      <c r="J85" s="204">
        <v>312</v>
      </c>
    </row>
    <row r="86" spans="1:10" x14ac:dyDescent="0.25">
      <c r="A86" t="s">
        <v>42</v>
      </c>
      <c r="B86" s="40">
        <f>SUM(E74:E75)+SUM(E77:E80)</f>
        <v>14535</v>
      </c>
      <c r="C86" s="44">
        <f>SUM(G74:G75)+SUM(G77:G80)</f>
        <v>97.108864027538729</v>
      </c>
      <c r="D86" t="str">
        <f>A86</f>
        <v>Avocado</v>
      </c>
      <c r="E86" s="46">
        <f>B86+(B99*555)</f>
        <v>45841.542295421124</v>
      </c>
      <c r="F86" s="44">
        <f>C86+B99</f>
        <v>153.51704834361283</v>
      </c>
      <c r="G86" s="204" t="s">
        <v>18</v>
      </c>
      <c r="H86" s="206">
        <f>G75+(F86-C86)</f>
        <v>92.552762629327106</v>
      </c>
      <c r="I86" s="204" t="s">
        <v>46</v>
      </c>
      <c r="J86" s="204">
        <v>277</v>
      </c>
    </row>
    <row r="87" spans="1:10" x14ac:dyDescent="0.25">
      <c r="A87" t="s">
        <v>43</v>
      </c>
      <c r="B87" s="40">
        <f>E76</f>
        <v>1100</v>
      </c>
      <c r="C87" s="44">
        <f>G76</f>
        <v>6.6265060240963853</v>
      </c>
      <c r="D87" t="str">
        <f>A87</f>
        <v>Lychee</v>
      </c>
      <c r="E87" s="46">
        <v>0</v>
      </c>
      <c r="F87" s="44">
        <f>C87-B96</f>
        <v>0</v>
      </c>
      <c r="G87" s="204">
        <f>42*555</f>
        <v>23310</v>
      </c>
      <c r="H87" s="207">
        <f>(G87+G88)/SUM(G87:G89)</f>
        <v>0.88983751032773339</v>
      </c>
      <c r="I87" s="204" t="s">
        <v>48</v>
      </c>
      <c r="J87" s="204">
        <v>185</v>
      </c>
    </row>
    <row r="88" spans="1:10" x14ac:dyDescent="0.25">
      <c r="A88" t="s">
        <v>44</v>
      </c>
      <c r="B88" s="40">
        <f>E81</f>
        <v>3000</v>
      </c>
      <c r="C88" s="44">
        <f>G81</f>
        <v>9.615384615384615</v>
      </c>
      <c r="D88" t="str">
        <f>A88</f>
        <v>Lemons</v>
      </c>
      <c r="E88" s="46">
        <v>0</v>
      </c>
      <c r="F88" s="44">
        <f>C88-B97</f>
        <v>0</v>
      </c>
      <c r="G88" s="204">
        <v>9000</v>
      </c>
      <c r="H88" s="204"/>
      <c r="I88" s="204" t="s">
        <v>45</v>
      </c>
      <c r="J88" s="204">
        <v>166</v>
      </c>
    </row>
    <row r="89" spans="1:10" x14ac:dyDescent="0.25">
      <c r="A89" s="33" t="s">
        <v>0</v>
      </c>
      <c r="B89" s="42">
        <f>SUM(B85:B88)</f>
        <v>24735</v>
      </c>
      <c r="C89" s="41">
        <f t="shared" ref="C89" si="21">SUM(C85:C88)</f>
        <v>145.82474065130515</v>
      </c>
      <c r="D89" s="33"/>
      <c r="E89" s="38">
        <f>SUM(E85:E88)</f>
        <v>45841.542295421124</v>
      </c>
      <c r="F89" s="36">
        <f>SUM(F85:F88)</f>
        <v>153.51704834361283</v>
      </c>
      <c r="G89" s="204">
        <v>4000</v>
      </c>
      <c r="H89" s="204"/>
      <c r="I89" s="204" t="s">
        <v>49</v>
      </c>
      <c r="J89" s="204">
        <v>130</v>
      </c>
    </row>
    <row r="91" spans="1:10" x14ac:dyDescent="0.25">
      <c r="B91" s="45"/>
    </row>
    <row r="92" spans="1:10" x14ac:dyDescent="0.25">
      <c r="B92" s="45"/>
    </row>
    <row r="94" spans="1:10" x14ac:dyDescent="0.25">
      <c r="A94" s="33" t="s">
        <v>56</v>
      </c>
      <c r="B94" s="33" t="s">
        <v>151</v>
      </c>
    </row>
    <row r="95" spans="1:10" x14ac:dyDescent="0.25">
      <c r="A95" t="s">
        <v>57</v>
      </c>
      <c r="B95" s="1">
        <f>C85</f>
        <v>32.473985984285413</v>
      </c>
    </row>
    <row r="96" spans="1:10" x14ac:dyDescent="0.25">
      <c r="A96" t="s">
        <v>58</v>
      </c>
      <c r="B96" s="1">
        <f>C87</f>
        <v>6.6265060240963853</v>
      </c>
    </row>
    <row r="97" spans="1:2" x14ac:dyDescent="0.25">
      <c r="A97" t="s">
        <v>44</v>
      </c>
      <c r="B97" s="1">
        <f>C88</f>
        <v>9.615384615384615</v>
      </c>
    </row>
    <row r="98" spans="1:2" x14ac:dyDescent="0.25">
      <c r="A98" t="s">
        <v>59</v>
      </c>
      <c r="B98" s="1">
        <f>1000/130</f>
        <v>7.6923076923076925</v>
      </c>
    </row>
    <row r="99" spans="1:2" ht="16.5" thickBot="1" x14ac:dyDescent="0.3">
      <c r="A99" s="35" t="s">
        <v>60</v>
      </c>
      <c r="B99" s="185">
        <f>SUM(B95:B98)</f>
        <v>56.408184316074106</v>
      </c>
    </row>
    <row r="100" spans="1:2" x14ac:dyDescent="0.25">
      <c r="B100" s="44"/>
    </row>
    <row r="101" spans="1:2" x14ac:dyDescent="0.25">
      <c r="B101" s="44"/>
    </row>
  </sheetData>
  <mergeCells count="1">
    <mergeCell ref="A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USD Summary with Tax</vt:lpstr>
      <vt:lpstr>AUD Operating Cashflow</vt:lpstr>
      <vt:lpstr>Current Plantings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</dc:creator>
  <cp:lastModifiedBy>drewl</cp:lastModifiedBy>
  <dcterms:created xsi:type="dcterms:W3CDTF">2019-09-18T23:47:58Z</dcterms:created>
  <dcterms:modified xsi:type="dcterms:W3CDTF">2021-11-13T17:56:16Z</dcterms:modified>
</cp:coreProperties>
</file>